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7095"/>
  </bookViews>
  <sheets>
    <sheet name="Anexo 1 -Zon Estacionamientos" sheetId="1" r:id="rId1"/>
    <sheet name="Anexo 2 - Estructura de Costos" sheetId="3" r:id="rId2"/>
    <sheet name="Anexo 3 -Estimacion de Ingresos" sheetId="2" r:id="rId3"/>
  </sheets>
  <externalReferences>
    <externalReference r:id="rId4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3" i="3" l="1"/>
  <c r="J53" i="3"/>
  <c r="J52" i="3"/>
  <c r="K52" i="3" s="1"/>
  <c r="K51" i="3" s="1"/>
  <c r="J50" i="3"/>
  <c r="K50" i="3" s="1"/>
  <c r="J49" i="3"/>
  <c r="K49" i="3" s="1"/>
  <c r="K48" i="3" s="1"/>
  <c r="J48" i="3"/>
  <c r="E47" i="3"/>
  <c r="K47" i="3" s="1"/>
  <c r="J47" i="3" s="1"/>
  <c r="K46" i="3"/>
  <c r="J46" i="3" s="1"/>
  <c r="E46" i="3"/>
  <c r="K45" i="3"/>
  <c r="J45" i="3"/>
  <c r="E45" i="3"/>
  <c r="E44" i="3"/>
  <c r="K44" i="3" s="1"/>
  <c r="J44" i="3" s="1"/>
  <c r="E43" i="3"/>
  <c r="K43" i="3" s="1"/>
  <c r="J43" i="3" s="1"/>
  <c r="K42" i="3"/>
  <c r="J42" i="3" s="1"/>
  <c r="E42" i="3"/>
  <c r="J40" i="3"/>
  <c r="K40" i="3" s="1"/>
  <c r="J39" i="3"/>
  <c r="K39" i="3" s="1"/>
  <c r="J37" i="3"/>
  <c r="K37" i="3" s="1"/>
  <c r="J35" i="3"/>
  <c r="K33" i="3"/>
  <c r="J33" i="3" s="1"/>
  <c r="K32" i="3"/>
  <c r="J32" i="3"/>
  <c r="K31" i="3"/>
  <c r="J31" i="3" s="1"/>
  <c r="K30" i="3"/>
  <c r="J30" i="3"/>
  <c r="K29" i="3"/>
  <c r="J29" i="3" s="1"/>
  <c r="K28" i="3"/>
  <c r="J28" i="3"/>
  <c r="K27" i="3"/>
  <c r="J27" i="3" s="1"/>
  <c r="K26" i="3"/>
  <c r="J26" i="3"/>
  <c r="K25" i="3"/>
  <c r="E24" i="3"/>
  <c r="K24" i="3" s="1"/>
  <c r="J24" i="3" s="1"/>
  <c r="E23" i="3"/>
  <c r="K23" i="3" s="1"/>
  <c r="J23" i="3" s="1"/>
  <c r="K22" i="3"/>
  <c r="J22" i="3" s="1"/>
  <c r="E22" i="3"/>
  <c r="K21" i="3"/>
  <c r="J21" i="3"/>
  <c r="E21" i="3"/>
  <c r="E20" i="3"/>
  <c r="K20" i="3" s="1"/>
  <c r="J20" i="3" s="1"/>
  <c r="E19" i="3"/>
  <c r="K19" i="3" s="1"/>
  <c r="J19" i="3" s="1"/>
  <c r="K18" i="3"/>
  <c r="J18" i="3" s="1"/>
  <c r="E18" i="3"/>
  <c r="K17" i="3"/>
  <c r="J17" i="3"/>
  <c r="E17" i="3"/>
  <c r="E16" i="3"/>
  <c r="K16" i="3" s="1"/>
  <c r="J16" i="3" s="1"/>
  <c r="E15" i="3"/>
  <c r="K15" i="3" s="1"/>
  <c r="J15" i="3" s="1"/>
  <c r="K14" i="3"/>
  <c r="J14" i="3" s="1"/>
  <c r="E14" i="3"/>
  <c r="J12" i="3"/>
  <c r="K12" i="3" s="1"/>
  <c r="K10" i="3" s="1"/>
  <c r="J10" i="3"/>
  <c r="D39" i="2"/>
  <c r="B50" i="2" s="1"/>
  <c r="C33" i="2"/>
  <c r="B26" i="2"/>
  <c r="D26" i="2" s="1"/>
  <c r="B24" i="2"/>
  <c r="D24" i="2" s="1"/>
  <c r="B22" i="2"/>
  <c r="D22" i="2" s="1"/>
  <c r="D16" i="2"/>
  <c r="B27" i="2" s="1"/>
  <c r="D27" i="2" s="1"/>
  <c r="J25" i="3" l="1"/>
  <c r="K35" i="3"/>
  <c r="J41" i="3"/>
  <c r="J34" i="3" s="1"/>
  <c r="J13" i="3"/>
  <c r="K13" i="3"/>
  <c r="K9" i="3" s="1"/>
  <c r="K41" i="3"/>
  <c r="J51" i="3"/>
  <c r="B21" i="2"/>
  <c r="D21" i="2" s="1"/>
  <c r="D33" i="2" s="1"/>
  <c r="A39" i="2" s="1"/>
  <c r="C39" i="2" s="1"/>
  <c r="C45" i="2" s="1"/>
  <c r="D45" i="2" s="1"/>
  <c r="A50" i="2" s="1"/>
  <c r="D50" i="2" s="1"/>
  <c r="B23" i="2"/>
  <c r="D23" i="2" s="1"/>
  <c r="B25" i="2"/>
  <c r="D25" i="2" s="1"/>
  <c r="K34" i="3" l="1"/>
  <c r="J9" i="3"/>
  <c r="J55" i="3" s="1"/>
  <c r="A45" i="2"/>
  <c r="C50" i="2"/>
  <c r="L34" i="3" l="1"/>
  <c r="K55" i="3"/>
  <c r="L51" i="3" l="1"/>
  <c r="L9" i="3"/>
  <c r="L55" i="3" l="1"/>
  <c r="G19" i="1" l="1"/>
  <c r="G31" i="1"/>
  <c r="G24" i="1"/>
  <c r="G16" i="1"/>
  <c r="G6" i="1"/>
  <c r="G39" i="1" l="1"/>
  <c r="G10" i="1"/>
  <c r="G9" i="1" s="1"/>
  <c r="J6" i="1" l="1"/>
  <c r="J34" i="1"/>
  <c r="J31" i="1"/>
  <c r="H34" i="1"/>
  <c r="H31" i="1"/>
  <c r="J28" i="1"/>
  <c r="H28" i="1"/>
  <c r="J24" i="1"/>
  <c r="H24" i="1"/>
  <c r="J19" i="1"/>
  <c r="H19" i="1"/>
  <c r="J16" i="1"/>
  <c r="H16" i="1"/>
  <c r="J9" i="1"/>
  <c r="H9" i="1"/>
  <c r="H6" i="1"/>
  <c r="J37" i="1" l="1"/>
  <c r="H37" i="1"/>
  <c r="G34" i="1"/>
  <c r="G28" i="1" l="1"/>
  <c r="G37" i="1" s="1"/>
</calcChain>
</file>

<file path=xl/sharedStrings.xml><?xml version="1.0" encoding="utf-8"?>
<sst xmlns="http://schemas.openxmlformats.org/spreadsheetml/2006/main" count="293" uniqueCount="201">
  <si>
    <t>A</t>
  </si>
  <si>
    <t>Local</t>
  </si>
  <si>
    <t>B</t>
  </si>
  <si>
    <t>C</t>
  </si>
  <si>
    <t>D</t>
  </si>
  <si>
    <t>Arterial</t>
  </si>
  <si>
    <t>E</t>
  </si>
  <si>
    <t>F</t>
  </si>
  <si>
    <t>G</t>
  </si>
  <si>
    <t>H</t>
  </si>
  <si>
    <t>T O T A L</t>
  </si>
  <si>
    <t>No</t>
  </si>
  <si>
    <t>UBICACIÓN</t>
  </si>
  <si>
    <t>TIPO DE VIA</t>
  </si>
  <si>
    <t>N° DE ESTACIONAMIENTOS</t>
  </si>
  <si>
    <t>TURNOS (AM - PM)</t>
  </si>
  <si>
    <t xml:space="preserve">TOTAL PARQUEADORES </t>
  </si>
  <si>
    <t>N° DE PARQUEADORES POR TURNO</t>
  </si>
  <si>
    <t>CENTRO COMERCIAL MOLINA PLAZA</t>
  </si>
  <si>
    <t>CA. LOS BAMBUES</t>
  </si>
  <si>
    <t>CA. LAS CAOBAS</t>
  </si>
  <si>
    <t>CUADRA</t>
  </si>
  <si>
    <t>CENTRO COMERCIAL LA MOLINA (METRO)</t>
  </si>
  <si>
    <t>AV. LA MOLINA (via auxiliar)</t>
  </si>
  <si>
    <t>CA. LAS ZARZAMORAS</t>
  </si>
  <si>
    <t>CA. LOS HIGOS</t>
  </si>
  <si>
    <t>CA. LOS DAMASCOS</t>
  </si>
  <si>
    <t>CENTRO COMERCIAL LA FONTANA</t>
  </si>
  <si>
    <t>AV. LOS FRUTALES</t>
  </si>
  <si>
    <t>CENTRO COMERCIAL LA ROTONDA</t>
  </si>
  <si>
    <t>AV. LA FONTANA</t>
  </si>
  <si>
    <t>AV. LA MOLINA</t>
  </si>
  <si>
    <t>CENTRO COMERCIAL LA PLANICIE (WONG)</t>
  </si>
  <si>
    <t>CA. TAHITI</t>
  </si>
  <si>
    <t>AV. RICARDO APARICIO</t>
  </si>
  <si>
    <t>CA. ISLAS VIRGENES</t>
  </si>
  <si>
    <t>CENTRO COMERCIAL MOLICENTRO</t>
  </si>
  <si>
    <t>CA. 7</t>
  </si>
  <si>
    <t>LAS CASCADAS</t>
  </si>
  <si>
    <t>CIRCUITO GASTRONOMICO JAVIER PRADO</t>
  </si>
  <si>
    <t>JR. LAS CASCADAS</t>
  </si>
  <si>
    <t>AV. JAVIER PRADO (Via Auxiliar)</t>
  </si>
  <si>
    <t>MUNICIPALIDAD DISTRITAL DE LA MOLINA</t>
  </si>
  <si>
    <t>ANEXO I</t>
  </si>
  <si>
    <t>LADO</t>
  </si>
  <si>
    <t>Colectora</t>
  </si>
  <si>
    <t>Expresa</t>
  </si>
  <si>
    <t>Impar</t>
  </si>
  <si>
    <t>Par</t>
  </si>
  <si>
    <t>CA. LOS GORRIONES</t>
  </si>
  <si>
    <t>CA. SAN IGNACIO DE LOYOLA</t>
  </si>
  <si>
    <t>ORDENANZA No                    - MDLM</t>
  </si>
  <si>
    <t>ANEXO III</t>
  </si>
  <si>
    <t>ORDENANZA No          - MDLM</t>
  </si>
  <si>
    <t>ESTIMACION DE INGRESOS Y DETERMINACION DE LA TASA DEL SERVICIO DE ESTACIONAMIENTO VEHICULAR TEMPORAL</t>
  </si>
  <si>
    <t>DIAS</t>
  </si>
  <si>
    <t>De Lunes a Domingo</t>
  </si>
  <si>
    <t>HORARIO:</t>
  </si>
  <si>
    <t>De 08:00 AM a 22:00 HORAS</t>
  </si>
  <si>
    <t>PERIOCIDAD</t>
  </si>
  <si>
    <t>ANUAL</t>
  </si>
  <si>
    <t>(A)</t>
  </si>
  <si>
    <t>(B)</t>
  </si>
  <si>
    <t>(C) 1/</t>
  </si>
  <si>
    <t>(D)= (A)*(B)*(C )</t>
  </si>
  <si>
    <t xml:space="preserve">N° de espacios físicos </t>
  </si>
  <si>
    <t>N° de horas al día que se</t>
  </si>
  <si>
    <t>N° de fracciones por cada</t>
  </si>
  <si>
    <t xml:space="preserve">Cantidad de espacios </t>
  </si>
  <si>
    <t>disponibles</t>
  </si>
  <si>
    <t>presta el servicio</t>
  </si>
  <si>
    <t>30 min. En una hora</t>
  </si>
  <si>
    <t>potenciales</t>
  </si>
  <si>
    <t>(D ) 2/</t>
  </si>
  <si>
    <t>(E )</t>
  </si>
  <si>
    <t>(G)= (D)*(E )</t>
  </si>
  <si>
    <t>Días</t>
  </si>
  <si>
    <t xml:space="preserve">Porcentaje de uso de los </t>
  </si>
  <si>
    <t>Cantidad de espacios</t>
  </si>
  <si>
    <t>espacios por día</t>
  </si>
  <si>
    <t>usados efectivamente</t>
  </si>
  <si>
    <t>Lunes</t>
  </si>
  <si>
    <t>Martes</t>
  </si>
  <si>
    <t>Miercoles</t>
  </si>
  <si>
    <t>Jueves</t>
  </si>
  <si>
    <t>Viernes</t>
  </si>
  <si>
    <t xml:space="preserve">Sabado </t>
  </si>
  <si>
    <t>Domingo</t>
  </si>
  <si>
    <t>(F) 3/ Porcentaje de uso</t>
  </si>
  <si>
    <t xml:space="preserve">(G) 4/ Cantidad de </t>
  </si>
  <si>
    <t xml:space="preserve"> promedio en una semana</t>
  </si>
  <si>
    <t xml:space="preserve">espacios usados </t>
  </si>
  <si>
    <t xml:space="preserve">efectivamente en una </t>
  </si>
  <si>
    <t xml:space="preserve">semana por cada </t>
  </si>
  <si>
    <t>30 minutos</t>
  </si>
  <si>
    <t>(H)</t>
  </si>
  <si>
    <t>(I)</t>
  </si>
  <si>
    <t>(J) = (H)*(I)</t>
  </si>
  <si>
    <t>(K) 5/</t>
  </si>
  <si>
    <t>N° de semanas en el</t>
  </si>
  <si>
    <t xml:space="preserve">Costo total por la </t>
  </si>
  <si>
    <t xml:space="preserve">usados efectivamente en </t>
  </si>
  <si>
    <t>periodo</t>
  </si>
  <si>
    <t xml:space="preserve">usados efectivamente en el </t>
  </si>
  <si>
    <t xml:space="preserve">prestación del servicio </t>
  </si>
  <si>
    <t>una semana por cada 30 min.</t>
  </si>
  <si>
    <t>periódo por cada 30 min.</t>
  </si>
  <si>
    <t>en el periódo</t>
  </si>
  <si>
    <t>(L)= (K)/(J)</t>
  </si>
  <si>
    <t>(M) 6/</t>
  </si>
  <si>
    <t xml:space="preserve">(J) </t>
  </si>
  <si>
    <t>(N)= (M)*(J)</t>
  </si>
  <si>
    <t>Costo por cada espacio</t>
  </si>
  <si>
    <t xml:space="preserve">Tasa a cobrar por </t>
  </si>
  <si>
    <t>Ingreso proyectado en</t>
  </si>
  <si>
    <t>Tasa a cobrar por</t>
  </si>
  <si>
    <t>cada 30 min.</t>
  </si>
  <si>
    <t>el periódo</t>
  </si>
  <si>
    <t>periodo por cada 30 min.</t>
  </si>
  <si>
    <t>(N)</t>
  </si>
  <si>
    <t>(Ñ)= (N) - (K)      7/</t>
  </si>
  <si>
    <t xml:space="preserve">(O)= (N) / (K) </t>
  </si>
  <si>
    <t xml:space="preserve">Ingreso proyectado en el </t>
  </si>
  <si>
    <t>Costo total por la prestación</t>
  </si>
  <si>
    <t>Ingresos - Costos</t>
  </si>
  <si>
    <t>Porcentaje de cobertura</t>
  </si>
  <si>
    <t>periódo</t>
  </si>
  <si>
    <t>del servicio en el periódo</t>
  </si>
  <si>
    <t>1/ La cantidad de dos fracciones es fija debido a que en una hora existen dos fracciones de 30 minutos</t>
  </si>
  <si>
    <t>2/ La cantidad de espacios potenciales es la misma para todos los días de la semana</t>
  </si>
  <si>
    <t>3/ El promedio de porcentaje de uso de una semana no debe ser menor 50%</t>
  </si>
  <si>
    <t>4/ La cantidad (H) corresponde a la suma de espacios usados efectivamente en una semana</t>
  </si>
  <si>
    <t>5/ El costo de la prestación del servicio resulta de la estructura de costos que cada municipalidad elabora</t>
  </si>
  <si>
    <t>6/ La tasa a cobrar (M) debe ser menor o igual al costo por espacio en 30 min (L)</t>
  </si>
  <si>
    <t>7/ El resultado de (Ñ) debe ser menor o igual a cero</t>
  </si>
  <si>
    <t>ANEXO II</t>
  </si>
  <si>
    <t>ORDENANZA No                  - MDLM</t>
  </si>
  <si>
    <t>ESTRUCTURA DE COSTO DEL SERVICIO DE ESTACIONAMIENTO VEHICULAR TEMPORAL</t>
  </si>
  <si>
    <t>Concepto</t>
  </si>
  <si>
    <t>Cantidad Anual</t>
  </si>
  <si>
    <t>Unidad de Medida</t>
  </si>
  <si>
    <t>Costo Unitario</t>
  </si>
  <si>
    <t>% de Dedicación</t>
  </si>
  <si>
    <t>% de Depreciación</t>
  </si>
  <si>
    <t>Costo Mensual</t>
  </si>
  <si>
    <t>Costo Anual</t>
  </si>
  <si>
    <t>%</t>
  </si>
  <si>
    <t>COSTOS DIRECTOS</t>
  </si>
  <si>
    <t>COSTOS DE MANO DE OBRA</t>
  </si>
  <si>
    <t>Personal CAS - D.L 1057</t>
  </si>
  <si>
    <t>Cobrador de Parqueo</t>
  </si>
  <si>
    <t>Persona</t>
  </si>
  <si>
    <t>Planilla</t>
  </si>
  <si>
    <t>COSTOS DE MATERIAL</t>
  </si>
  <si>
    <t>Tickets (taco x 100)</t>
  </si>
  <si>
    <t>Talonario</t>
  </si>
  <si>
    <t>Ord 433-MSS</t>
  </si>
  <si>
    <t>Zapatos</t>
  </si>
  <si>
    <t>2013-000974</t>
  </si>
  <si>
    <t>Pantalón</t>
  </si>
  <si>
    <t>Unidad</t>
  </si>
  <si>
    <t>Camisa</t>
  </si>
  <si>
    <t>Chaleco</t>
  </si>
  <si>
    <t>Gorro</t>
  </si>
  <si>
    <t>Canguro</t>
  </si>
  <si>
    <t>Casaca</t>
  </si>
  <si>
    <t>Silbato</t>
  </si>
  <si>
    <t>2012 -001022</t>
  </si>
  <si>
    <t>Reloj</t>
  </si>
  <si>
    <t>Lapicero</t>
  </si>
  <si>
    <t>2013-001011</t>
  </si>
  <si>
    <t>OTROS COSTOS Y GASTOS VARIABLES</t>
  </si>
  <si>
    <t>Mantenimiento de las zonas de estacionamiento</t>
  </si>
  <si>
    <t>Servicio</t>
  </si>
  <si>
    <t>Pintura tráfico blanca</t>
  </si>
  <si>
    <t>Galón</t>
  </si>
  <si>
    <t>2013-001079</t>
  </si>
  <si>
    <t>Pintura tráfico amarilla</t>
  </si>
  <si>
    <t>2013-000575</t>
  </si>
  <si>
    <t>Pintura tráfico azul</t>
  </si>
  <si>
    <t>2013-001042</t>
  </si>
  <si>
    <t>Pintura tráfico negro</t>
  </si>
  <si>
    <t>Pintura tráfico concreto o plomo</t>
  </si>
  <si>
    <t>Disolvente</t>
  </si>
  <si>
    <t>Señal informativa</t>
  </si>
  <si>
    <t>COSTOS INDIRECTOS Y GASTOS ADMINISTRATIVOS</t>
  </si>
  <si>
    <t>Personal de Confianza - D.L 276</t>
  </si>
  <si>
    <t xml:space="preserve">Sub Gerente de Transporte y Tránsito </t>
  </si>
  <si>
    <t>Asistente Tecnico</t>
  </si>
  <si>
    <t xml:space="preserve">Supervisor </t>
  </si>
  <si>
    <t>MATERIALES</t>
  </si>
  <si>
    <t>OTROS GASTOS VARIABLES</t>
  </si>
  <si>
    <t>Telefonía móvil - Administrativos</t>
  </si>
  <si>
    <t>Equipo</t>
  </si>
  <si>
    <t>Telefonía móvil - Supervisores</t>
  </si>
  <si>
    <t>COSTOS FIJOS</t>
  </si>
  <si>
    <t>Agua potable</t>
  </si>
  <si>
    <t>Suministro</t>
  </si>
  <si>
    <t>Cuadro</t>
  </si>
  <si>
    <t>Energía eléctrica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</si>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</sst>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_(* #,##0_);_(* \(#,##0\);_(* &quot;-&quot;??_);_(@_)"/>
    <numFmt numFmtId="165" formatCode="_(* #,##0.00_);_(* \(#,##0.00\);_(* &quot;-&quot;??_);_(@_)"/>
    <numFmt numFmtId="166" formatCode="0.000"/>
    <numFmt numFmtId="167" formatCode="0.0000"/>
    <numFmt numFmtId="168" formatCode="#,##0.0"/>
    <numFmt numFmtId="169" formatCode="0.0%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7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1"/>
      <name val="Arial"/>
      <family val="2"/>
    </font>
    <font>
      <b/>
      <sz val="8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</cellStyleXfs>
  <cellXfs count="314">
    <xf numFmtId="0" fontId="0" fillId="0" borderId="0" xfId="0"/>
    <xf numFmtId="0" fontId="4" fillId="0" borderId="0" xfId="2" applyFont="1" applyAlignment="1"/>
    <xf numFmtId="0" fontId="4" fillId="0" borderId="0" xfId="2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5" borderId="11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left" vertical="center" wrapText="1"/>
    </xf>
    <xf numFmtId="0" fontId="4" fillId="5" borderId="30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/>
    </xf>
    <xf numFmtId="0" fontId="7" fillId="4" borderId="13" xfId="0" applyFont="1" applyFill="1" applyBorder="1" applyAlignment="1"/>
    <xf numFmtId="0" fontId="7" fillId="2" borderId="28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4" borderId="26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/>
    </xf>
    <xf numFmtId="0" fontId="7" fillId="4" borderId="15" xfId="0" applyFont="1" applyFill="1" applyBorder="1" applyAlignment="1"/>
    <xf numFmtId="0" fontId="7" fillId="2" borderId="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4" borderId="20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center"/>
    </xf>
    <xf numFmtId="0" fontId="7" fillId="4" borderId="22" xfId="0" applyFont="1" applyFill="1" applyBorder="1" applyAlignment="1"/>
    <xf numFmtId="0" fontId="7" fillId="4" borderId="22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/>
    </xf>
    <xf numFmtId="0" fontId="7" fillId="4" borderId="3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/>
    </xf>
    <xf numFmtId="0" fontId="7" fillId="4" borderId="18" xfId="0" applyFont="1" applyFill="1" applyBorder="1" applyAlignment="1"/>
    <xf numFmtId="0" fontId="7" fillId="2" borderId="18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4" fillId="5" borderId="42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6" fillId="5" borderId="45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4" borderId="50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left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vertical="center"/>
    </xf>
    <xf numFmtId="0" fontId="7" fillId="4" borderId="1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vertical="center"/>
    </xf>
    <xf numFmtId="0" fontId="7" fillId="4" borderId="2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vertical="center"/>
    </xf>
    <xf numFmtId="0" fontId="7" fillId="4" borderId="19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/>
    </xf>
    <xf numFmtId="0" fontId="3" fillId="3" borderId="31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29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41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4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4" fillId="0" borderId="0" xfId="2" applyFont="1" applyAlignment="1">
      <alignment horizontal="center"/>
    </xf>
    <xf numFmtId="0" fontId="7" fillId="4" borderId="24" xfId="0" applyFont="1" applyFill="1" applyBorder="1" applyAlignment="1">
      <alignment horizontal="left" vertical="center"/>
    </xf>
    <xf numFmtId="0" fontId="7" fillId="4" borderId="16" xfId="0" applyFont="1" applyFill="1" applyBorder="1" applyAlignment="1">
      <alignment horizontal="left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left" vertical="center" wrapText="1"/>
    </xf>
    <xf numFmtId="0" fontId="3" fillId="5" borderId="31" xfId="0" applyFont="1" applyFill="1" applyBorder="1" applyAlignment="1">
      <alignment horizontal="left" vertical="center" wrapText="1"/>
    </xf>
    <xf numFmtId="0" fontId="3" fillId="5" borderId="32" xfId="0" applyFont="1" applyFill="1" applyBorder="1" applyAlignment="1">
      <alignment horizontal="left" vertical="center" wrapText="1"/>
    </xf>
    <xf numFmtId="0" fontId="3" fillId="5" borderId="25" xfId="0" applyFont="1" applyFill="1" applyBorder="1" applyAlignment="1">
      <alignment horizontal="left" vertical="center" wrapText="1"/>
    </xf>
    <xf numFmtId="0" fontId="3" fillId="5" borderId="42" xfId="0" applyFont="1" applyFill="1" applyBorder="1" applyAlignment="1">
      <alignment horizontal="left" vertical="center" wrapText="1"/>
    </xf>
    <xf numFmtId="0" fontId="3" fillId="5" borderId="38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9" fillId="0" borderId="0" xfId="2" applyFont="1" applyAlignment="1">
      <alignment horizontal="center"/>
    </xf>
    <xf numFmtId="0" fontId="2" fillId="0" borderId="0" xfId="2" applyFont="1" applyAlignment="1"/>
    <xf numFmtId="0" fontId="10" fillId="0" borderId="0" xfId="2" applyFont="1" applyAlignment="1"/>
    <xf numFmtId="0" fontId="11" fillId="0" borderId="0" xfId="2" applyFont="1" applyAlignment="1">
      <alignment horizontal="center" vertical="center" wrapText="1"/>
    </xf>
    <xf numFmtId="0" fontId="12" fillId="0" borderId="0" xfId="2" applyFont="1" applyAlignment="1">
      <alignment vertical="center" wrapText="1"/>
    </xf>
    <xf numFmtId="0" fontId="12" fillId="0" borderId="0" xfId="2" applyFont="1" applyAlignment="1">
      <alignment vertical="center" wrapText="1"/>
    </xf>
    <xf numFmtId="0" fontId="7" fillId="0" borderId="0" xfId="2" applyFont="1" applyAlignment="1"/>
    <xf numFmtId="0" fontId="10" fillId="0" borderId="0" xfId="2" applyNumberFormat="1" applyFont="1" applyFill="1" applyBorder="1" applyAlignment="1" applyProtection="1">
      <alignment horizontal="center" vertical="top"/>
    </xf>
    <xf numFmtId="0" fontId="7" fillId="6" borderId="51" xfId="2" applyFont="1" applyFill="1" applyBorder="1" applyAlignment="1">
      <alignment horizontal="center"/>
    </xf>
    <xf numFmtId="0" fontId="7" fillId="6" borderId="4" xfId="2" applyFont="1" applyFill="1" applyBorder="1" applyAlignment="1">
      <alignment horizontal="center"/>
    </xf>
    <xf numFmtId="0" fontId="7" fillId="6" borderId="52" xfId="2" applyFont="1" applyFill="1" applyBorder="1" applyAlignment="1">
      <alignment horizontal="center"/>
    </xf>
    <xf numFmtId="0" fontId="7" fillId="6" borderId="53" xfId="2" applyFont="1" applyFill="1" applyBorder="1" applyAlignment="1">
      <alignment horizontal="center"/>
    </xf>
    <xf numFmtId="0" fontId="7" fillId="6" borderId="2" xfId="2" applyFont="1" applyFill="1" applyBorder="1" applyAlignment="1">
      <alignment horizontal="center"/>
    </xf>
    <xf numFmtId="0" fontId="7" fillId="6" borderId="54" xfId="2" applyFont="1" applyFill="1" applyBorder="1" applyAlignment="1">
      <alignment horizontal="center"/>
    </xf>
    <xf numFmtId="3" fontId="5" fillId="0" borderId="2" xfId="2" applyNumberFormat="1" applyFont="1" applyBorder="1" applyAlignment="1">
      <alignment horizontal="center"/>
    </xf>
    <xf numFmtId="0" fontId="7" fillId="0" borderId="2" xfId="2" applyFont="1" applyBorder="1" applyAlignment="1">
      <alignment horizontal="center"/>
    </xf>
    <xf numFmtId="3" fontId="7" fillId="0" borderId="2" xfId="2" applyNumberFormat="1" applyFont="1" applyBorder="1" applyAlignment="1">
      <alignment horizontal="center"/>
    </xf>
    <xf numFmtId="0" fontId="7" fillId="0" borderId="0" xfId="2" applyFont="1" applyAlignment="1">
      <alignment horizontal="center"/>
    </xf>
    <xf numFmtId="10" fontId="7" fillId="0" borderId="2" xfId="10" applyNumberFormat="1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3" fontId="7" fillId="0" borderId="1" xfId="2" applyNumberFormat="1" applyFont="1" applyBorder="1" applyAlignment="1">
      <alignment horizontal="center"/>
    </xf>
    <xf numFmtId="10" fontId="7" fillId="0" borderId="1" xfId="10" applyNumberFormat="1" applyFont="1" applyBorder="1" applyAlignment="1">
      <alignment horizontal="center"/>
    </xf>
    <xf numFmtId="10" fontId="7" fillId="6" borderId="4" xfId="2" applyNumberFormat="1" applyFont="1" applyFill="1" applyBorder="1" applyAlignment="1">
      <alignment horizontal="center"/>
    </xf>
    <xf numFmtId="1" fontId="7" fillId="6" borderId="4" xfId="2" applyNumberFormat="1" applyFont="1" applyFill="1" applyBorder="1" applyAlignment="1">
      <alignment horizontal="center"/>
    </xf>
    <xf numFmtId="10" fontId="7" fillId="6" borderId="23" xfId="2" applyNumberFormat="1" applyFont="1" applyFill="1" applyBorder="1" applyAlignment="1">
      <alignment horizontal="center"/>
    </xf>
    <xf numFmtId="1" fontId="7" fillId="6" borderId="23" xfId="2" applyNumberFormat="1" applyFont="1" applyFill="1" applyBorder="1" applyAlignment="1">
      <alignment horizontal="center"/>
    </xf>
    <xf numFmtId="10" fontId="7" fillId="6" borderId="2" xfId="2" applyNumberFormat="1" applyFont="1" applyFill="1" applyBorder="1" applyAlignment="1">
      <alignment horizontal="center"/>
    </xf>
    <xf numFmtId="1" fontId="7" fillId="6" borderId="2" xfId="2" applyNumberFormat="1" applyFont="1" applyFill="1" applyBorder="1" applyAlignment="1">
      <alignment horizontal="center"/>
    </xf>
    <xf numFmtId="10" fontId="7" fillId="0" borderId="55" xfId="2" applyNumberFormat="1" applyFont="1" applyBorder="1" applyAlignment="1">
      <alignment horizontal="center"/>
    </xf>
    <xf numFmtId="0" fontId="7" fillId="6" borderId="56" xfId="2" applyFont="1" applyFill="1" applyBorder="1" applyAlignment="1">
      <alignment horizontal="center"/>
    </xf>
    <xf numFmtId="0" fontId="7" fillId="6" borderId="23" xfId="2" applyFont="1" applyFill="1" applyBorder="1" applyAlignment="1">
      <alignment horizontal="center"/>
    </xf>
    <xf numFmtId="0" fontId="7" fillId="6" borderId="57" xfId="2" applyFont="1" applyFill="1" applyBorder="1" applyAlignment="1">
      <alignment horizontal="center"/>
    </xf>
    <xf numFmtId="0" fontId="2" fillId="0" borderId="0" xfId="2" applyFont="1" applyBorder="1" applyAlignment="1"/>
    <xf numFmtId="164" fontId="7" fillId="0" borderId="1" xfId="2" applyNumberFormat="1" applyFont="1" applyBorder="1" applyAlignment="1">
      <alignment horizontal="center" vertical="center"/>
    </xf>
    <xf numFmtId="164" fontId="7" fillId="0" borderId="1" xfId="2" applyNumberFormat="1" applyFont="1" applyBorder="1" applyAlignment="1">
      <alignment horizontal="right"/>
    </xf>
    <xf numFmtId="165" fontId="7" fillId="0" borderId="1" xfId="2" applyNumberFormat="1" applyFont="1" applyBorder="1" applyAlignment="1">
      <alignment horizontal="right"/>
    </xf>
    <xf numFmtId="165" fontId="7" fillId="0" borderId="0" xfId="2" applyNumberFormat="1" applyFont="1" applyBorder="1" applyAlignment="1">
      <alignment horizontal="right"/>
    </xf>
    <xf numFmtId="164" fontId="2" fillId="0" borderId="0" xfId="2" applyNumberFormat="1" applyFont="1" applyBorder="1" applyAlignment="1"/>
    <xf numFmtId="164" fontId="7" fillId="0" borderId="0" xfId="2" applyNumberFormat="1" applyFont="1" applyBorder="1" applyAlignment="1">
      <alignment horizontal="right"/>
    </xf>
    <xf numFmtId="0" fontId="7" fillId="0" borderId="0" xfId="2" applyFont="1" applyBorder="1" applyAlignment="1">
      <alignment horizontal="center"/>
    </xf>
    <xf numFmtId="166" fontId="7" fillId="0" borderId="1" xfId="2" applyNumberFormat="1" applyFont="1" applyBorder="1" applyAlignment="1">
      <alignment horizontal="right"/>
    </xf>
    <xf numFmtId="4" fontId="2" fillId="0" borderId="0" xfId="2" applyNumberFormat="1" applyFont="1" applyAlignment="1"/>
    <xf numFmtId="167" fontId="7" fillId="0" borderId="0" xfId="2" applyNumberFormat="1" applyFont="1" applyBorder="1" applyAlignment="1">
      <alignment horizontal="right"/>
    </xf>
    <xf numFmtId="0" fontId="10" fillId="0" borderId="0" xfId="2" applyNumberFormat="1" applyFont="1" applyFill="1" applyBorder="1" applyAlignment="1" applyProtection="1">
      <alignment horizontal="center" vertical="center" wrapText="1"/>
    </xf>
    <xf numFmtId="10" fontId="7" fillId="0" borderId="1" xfId="10" applyNumberFormat="1" applyFont="1" applyBorder="1" applyAlignment="1">
      <alignment horizontal="right"/>
    </xf>
    <xf numFmtId="0" fontId="10" fillId="0" borderId="0" xfId="2" applyNumberFormat="1" applyFont="1" applyFill="1" applyBorder="1" applyAlignment="1" applyProtection="1">
      <alignment vertical="top"/>
    </xf>
    <xf numFmtId="1" fontId="7" fillId="0" borderId="0" xfId="2" applyNumberFormat="1" applyFont="1" applyAlignment="1"/>
    <xf numFmtId="168" fontId="7" fillId="0" borderId="0" xfId="2" applyNumberFormat="1" applyFont="1" applyAlignment="1"/>
    <xf numFmtId="0" fontId="7" fillId="0" borderId="0" xfId="17" applyFont="1" applyFill="1" applyBorder="1" applyAlignment="1">
      <alignment vertical="center"/>
    </xf>
    <xf numFmtId="0" fontId="7" fillId="0" borderId="0" xfId="17" applyFont="1" applyFill="1" applyBorder="1" applyAlignment="1">
      <alignment horizontal="center" vertical="center"/>
    </xf>
    <xf numFmtId="0" fontId="4" fillId="0" borderId="0" xfId="17" applyFont="1" applyFill="1" applyBorder="1" applyAlignment="1">
      <alignment horizontal="center" vertical="center" wrapText="1"/>
    </xf>
    <xf numFmtId="43" fontId="7" fillId="0" borderId="0" xfId="18" applyFont="1" applyFill="1" applyBorder="1" applyAlignment="1">
      <alignment vertical="center"/>
    </xf>
    <xf numFmtId="0" fontId="7" fillId="0" borderId="0" xfId="17" applyFont="1" applyFill="1" applyBorder="1" applyAlignment="1">
      <alignment horizontal="left" vertical="center"/>
    </xf>
    <xf numFmtId="9" fontId="7" fillId="0" borderId="0" xfId="17" applyNumberFormat="1" applyFont="1" applyFill="1" applyBorder="1" applyAlignment="1">
      <alignment vertical="center"/>
    </xf>
    <xf numFmtId="0" fontId="4" fillId="0" borderId="30" xfId="17" applyFont="1" applyFill="1" applyBorder="1" applyAlignment="1">
      <alignment horizontal="center" vertical="center"/>
    </xf>
    <xf numFmtId="0" fontId="4" fillId="0" borderId="31" xfId="17" applyFont="1" applyFill="1" applyBorder="1" applyAlignment="1">
      <alignment horizontal="center" vertical="center"/>
    </xf>
    <xf numFmtId="43" fontId="4" fillId="4" borderId="31" xfId="18" applyFont="1" applyFill="1" applyBorder="1" applyAlignment="1">
      <alignment horizontal="center" vertical="center" wrapText="1"/>
    </xf>
    <xf numFmtId="0" fontId="4" fillId="0" borderId="31" xfId="17" applyFont="1" applyFill="1" applyBorder="1" applyAlignment="1">
      <alignment horizontal="center" vertical="center" wrapText="1"/>
    </xf>
    <xf numFmtId="43" fontId="4" fillId="0" borderId="31" xfId="18" applyFont="1" applyFill="1" applyBorder="1" applyAlignment="1">
      <alignment horizontal="center" vertical="center" wrapText="1"/>
    </xf>
    <xf numFmtId="169" fontId="4" fillId="0" borderId="25" xfId="11" applyNumberFormat="1" applyFont="1" applyFill="1" applyBorder="1" applyAlignment="1">
      <alignment horizontal="center" vertical="center" wrapText="1"/>
    </xf>
    <xf numFmtId="0" fontId="7" fillId="0" borderId="0" xfId="17" applyFont="1" applyFill="1" applyBorder="1" applyAlignment="1">
      <alignment vertical="center" wrapText="1"/>
    </xf>
    <xf numFmtId="0" fontId="7" fillId="0" borderId="0" xfId="17" applyFont="1" applyFill="1" applyBorder="1" applyAlignment="1">
      <alignment horizontal="center" vertical="center" wrapText="1"/>
    </xf>
    <xf numFmtId="0" fontId="14" fillId="7" borderId="30" xfId="17" applyFont="1" applyFill="1" applyBorder="1" applyAlignment="1">
      <alignment vertical="center"/>
    </xf>
    <xf numFmtId="0" fontId="14" fillId="7" borderId="31" xfId="17" applyFont="1" applyFill="1" applyBorder="1" applyAlignment="1">
      <alignment vertical="center"/>
    </xf>
    <xf numFmtId="0" fontId="14" fillId="7" borderId="31" xfId="17" applyFont="1" applyFill="1" applyBorder="1" applyAlignment="1">
      <alignment horizontal="center" vertical="center" wrapText="1"/>
    </xf>
    <xf numFmtId="43" fontId="14" fillId="7" borderId="31" xfId="18" applyFont="1" applyFill="1" applyBorder="1" applyAlignment="1">
      <alignment horizontal="center" vertical="center" wrapText="1"/>
    </xf>
    <xf numFmtId="0" fontId="14" fillId="7" borderId="31" xfId="17" applyFont="1" applyFill="1" applyBorder="1" applyAlignment="1">
      <alignment horizontal="left" vertical="center" wrapText="1"/>
    </xf>
    <xf numFmtId="43" fontId="14" fillId="7" borderId="31" xfId="18" applyFont="1" applyFill="1" applyBorder="1" applyAlignment="1">
      <alignment horizontal="right" vertical="center"/>
    </xf>
    <xf numFmtId="169" fontId="14" fillId="7" borderId="25" xfId="11" applyNumberFormat="1" applyFont="1" applyFill="1" applyBorder="1" applyAlignment="1">
      <alignment vertical="center" wrapText="1"/>
    </xf>
    <xf numFmtId="0" fontId="4" fillId="0" borderId="42" xfId="17" applyFont="1" applyFill="1" applyBorder="1" applyAlignment="1">
      <alignment vertical="center"/>
    </xf>
    <xf numFmtId="0" fontId="4" fillId="0" borderId="38" xfId="17" applyFont="1" applyFill="1" applyBorder="1" applyAlignment="1">
      <alignment vertical="center"/>
    </xf>
    <xf numFmtId="0" fontId="4" fillId="0" borderId="38" xfId="17" applyFont="1" applyFill="1" applyBorder="1" applyAlignment="1">
      <alignment horizontal="center" vertical="center" wrapText="1"/>
    </xf>
    <xf numFmtId="43" fontId="4" fillId="0" borderId="38" xfId="18" applyFont="1" applyFill="1" applyBorder="1" applyAlignment="1">
      <alignment horizontal="right" vertical="center" wrapText="1"/>
    </xf>
    <xf numFmtId="0" fontId="4" fillId="0" borderId="38" xfId="17" applyFont="1" applyFill="1" applyBorder="1" applyAlignment="1">
      <alignment horizontal="left" vertical="center" wrapText="1"/>
    </xf>
    <xf numFmtId="43" fontId="4" fillId="0" borderId="38" xfId="18" applyFont="1" applyFill="1" applyBorder="1" applyAlignment="1">
      <alignment horizontal="center" vertical="center" wrapText="1"/>
    </xf>
    <xf numFmtId="4" fontId="4" fillId="0" borderId="38" xfId="18" applyNumberFormat="1" applyFont="1" applyFill="1" applyBorder="1" applyAlignment="1">
      <alignment horizontal="right" vertical="center"/>
    </xf>
    <xf numFmtId="169" fontId="7" fillId="0" borderId="32" xfId="11" applyNumberFormat="1" applyFont="1" applyFill="1" applyBorder="1" applyAlignment="1">
      <alignment vertical="center" wrapText="1"/>
    </xf>
    <xf numFmtId="0" fontId="4" fillId="0" borderId="27" xfId="17" applyFont="1" applyFill="1" applyBorder="1" applyAlignment="1">
      <alignment vertical="center"/>
    </xf>
    <xf numFmtId="0" fontId="4" fillId="0" borderId="0" xfId="17" applyFont="1" applyFill="1" applyBorder="1" applyAlignment="1">
      <alignment vertical="center"/>
    </xf>
    <xf numFmtId="0" fontId="7" fillId="0" borderId="0" xfId="17" applyFont="1" applyFill="1" applyBorder="1" applyAlignment="1">
      <alignment horizontal="left" vertical="center" wrapText="1"/>
    </xf>
    <xf numFmtId="3" fontId="4" fillId="0" borderId="0" xfId="18" applyNumberFormat="1" applyFont="1" applyFill="1" applyBorder="1" applyAlignment="1">
      <alignment horizontal="right" vertical="center" wrapText="1"/>
    </xf>
    <xf numFmtId="0" fontId="4" fillId="0" borderId="0" xfId="17" applyFont="1" applyFill="1" applyBorder="1" applyAlignment="1">
      <alignment horizontal="left" vertical="center" wrapText="1"/>
    </xf>
    <xf numFmtId="43" fontId="4" fillId="0" borderId="0" xfId="18" applyFont="1" applyFill="1" applyBorder="1" applyAlignment="1">
      <alignment horizontal="center" vertical="center" wrapText="1"/>
    </xf>
    <xf numFmtId="0" fontId="4" fillId="0" borderId="0" xfId="17" applyFont="1" applyFill="1" applyBorder="1" applyAlignment="1">
      <alignment horizontal="center" vertical="center" wrapText="1"/>
    </xf>
    <xf numFmtId="4" fontId="4" fillId="0" borderId="0" xfId="18" applyNumberFormat="1" applyFont="1" applyFill="1" applyBorder="1" applyAlignment="1">
      <alignment horizontal="right" vertical="center"/>
    </xf>
    <xf numFmtId="169" fontId="7" fillId="0" borderId="39" xfId="11" applyNumberFormat="1" applyFont="1" applyFill="1" applyBorder="1" applyAlignment="1">
      <alignment vertical="center" wrapText="1"/>
    </xf>
    <xf numFmtId="43" fontId="7" fillId="0" borderId="0" xfId="17" applyNumberFormat="1" applyFont="1" applyFill="1" applyBorder="1" applyAlignment="1">
      <alignment vertical="center" wrapText="1"/>
    </xf>
    <xf numFmtId="165" fontId="7" fillId="0" borderId="0" xfId="17" applyNumberFormat="1" applyFont="1" applyFill="1" applyBorder="1" applyAlignment="1">
      <alignment vertical="center" wrapText="1"/>
    </xf>
    <xf numFmtId="0" fontId="7" fillId="0" borderId="27" xfId="17" applyFont="1" applyFill="1" applyBorder="1" applyAlignment="1">
      <alignment vertical="center"/>
    </xf>
    <xf numFmtId="0" fontId="7" fillId="0" borderId="0" xfId="17" applyFont="1" applyFill="1" applyBorder="1" applyAlignment="1">
      <alignment horizontal="left" vertical="center" indent="1"/>
    </xf>
    <xf numFmtId="3" fontId="5" fillId="0" borderId="0" xfId="18" applyNumberFormat="1" applyFont="1" applyFill="1" applyBorder="1" applyAlignment="1">
      <alignment horizontal="center" vertical="center"/>
    </xf>
    <xf numFmtId="0" fontId="5" fillId="0" borderId="0" xfId="17" applyFont="1" applyFill="1" applyBorder="1" applyAlignment="1">
      <alignment horizontal="center" vertical="center"/>
    </xf>
    <xf numFmtId="43" fontId="5" fillId="0" borderId="0" xfId="18" applyFont="1" applyFill="1" applyBorder="1" applyAlignment="1">
      <alignment vertical="center"/>
    </xf>
    <xf numFmtId="9" fontId="5" fillId="0" borderId="0" xfId="19" applyNumberFormat="1" applyFont="1" applyFill="1" applyBorder="1" applyAlignment="1">
      <alignment horizontal="center" vertical="center"/>
    </xf>
    <xf numFmtId="4" fontId="7" fillId="0" borderId="0" xfId="18" applyNumberFormat="1" applyFont="1" applyFill="1" applyAlignment="1">
      <alignment vertical="center"/>
    </xf>
    <xf numFmtId="4" fontId="7" fillId="0" borderId="0" xfId="0" applyNumberFormat="1" applyFont="1" applyFill="1" applyAlignment="1">
      <alignment vertical="center"/>
    </xf>
    <xf numFmtId="169" fontId="7" fillId="0" borderId="39" xfId="11" applyNumberFormat="1" applyFont="1" applyFill="1" applyBorder="1" applyAlignment="1">
      <alignment vertical="center"/>
    </xf>
    <xf numFmtId="169" fontId="7" fillId="0" borderId="0" xfId="11" applyNumberFormat="1" applyFont="1" applyFill="1" applyBorder="1" applyAlignment="1">
      <alignment vertical="center"/>
    </xf>
    <xf numFmtId="4" fontId="6" fillId="0" borderId="0" xfId="18" applyNumberFormat="1" applyFont="1" applyFill="1" applyBorder="1" applyAlignment="1">
      <alignment horizontal="center" vertical="center" wrapText="1"/>
    </xf>
    <xf numFmtId="0" fontId="6" fillId="0" borderId="0" xfId="17" applyFont="1" applyFill="1" applyBorder="1" applyAlignment="1">
      <alignment horizontal="center" vertical="center" wrapText="1"/>
    </xf>
    <xf numFmtId="43" fontId="6" fillId="0" borderId="0" xfId="18" applyFont="1" applyFill="1" applyBorder="1" applyAlignment="1">
      <alignment horizontal="center" vertical="center" wrapText="1"/>
    </xf>
    <xf numFmtId="4" fontId="4" fillId="0" borderId="0" xfId="18" applyNumberFormat="1" applyFont="1" applyFill="1" applyBorder="1" applyAlignment="1">
      <alignment vertical="center" wrapText="1"/>
    </xf>
    <xf numFmtId="3" fontId="5" fillId="0" borderId="0" xfId="18" applyNumberFormat="1" applyFont="1" applyFill="1" applyBorder="1" applyAlignment="1">
      <alignment horizontal="center" vertical="center" wrapText="1"/>
    </xf>
    <xf numFmtId="0" fontId="5" fillId="0" borderId="0" xfId="17" applyFont="1" applyFill="1" applyBorder="1" applyAlignment="1">
      <alignment horizontal="center" vertical="center" wrapText="1"/>
    </xf>
    <xf numFmtId="0" fontId="7" fillId="0" borderId="0" xfId="19" applyFont="1" applyFill="1" applyBorder="1" applyAlignment="1">
      <alignment vertical="center"/>
    </xf>
    <xf numFmtId="4" fontId="7" fillId="0" borderId="0" xfId="19" applyNumberFormat="1" applyFont="1" applyFill="1" applyAlignment="1">
      <alignment vertical="center"/>
    </xf>
    <xf numFmtId="4" fontId="7" fillId="0" borderId="0" xfId="17" applyNumberFormat="1" applyFont="1" applyFill="1" applyBorder="1" applyAlignment="1">
      <alignment horizontal="center" vertical="center" wrapText="1"/>
    </xf>
    <xf numFmtId="4" fontId="7" fillId="0" borderId="0" xfId="17" applyNumberFormat="1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2" fontId="7" fillId="0" borderId="0" xfId="17" applyNumberFormat="1" applyFont="1" applyFill="1" applyBorder="1" applyAlignment="1">
      <alignment vertical="center" wrapText="1"/>
    </xf>
    <xf numFmtId="0" fontId="5" fillId="0" borderId="0" xfId="19" applyFont="1" applyFill="1" applyBorder="1" applyAlignment="1">
      <alignment horizontal="center" vertical="center"/>
    </xf>
    <xf numFmtId="4" fontId="4" fillId="0" borderId="0" xfId="19" applyNumberFormat="1" applyFont="1" applyFill="1" applyAlignment="1">
      <alignment vertical="center"/>
    </xf>
    <xf numFmtId="0" fontId="7" fillId="4" borderId="0" xfId="17" applyFont="1" applyFill="1" applyBorder="1" applyAlignment="1">
      <alignment horizontal="left" vertical="center"/>
    </xf>
    <xf numFmtId="3" fontId="5" fillId="4" borderId="0" xfId="18" applyNumberFormat="1" applyFont="1" applyFill="1" applyBorder="1" applyAlignment="1">
      <alignment horizontal="center" vertical="center"/>
    </xf>
    <xf numFmtId="0" fontId="5" fillId="4" borderId="0" xfId="19" applyFont="1" applyFill="1" applyBorder="1" applyAlignment="1">
      <alignment horizontal="center" vertical="center"/>
    </xf>
    <xf numFmtId="43" fontId="5" fillId="4" borderId="0" xfId="18" applyNumberFormat="1" applyFont="1" applyFill="1" applyBorder="1" applyAlignment="1">
      <alignment vertical="center"/>
    </xf>
    <xf numFmtId="9" fontId="5" fillId="4" borderId="0" xfId="19" applyNumberFormat="1" applyFont="1" applyFill="1" applyBorder="1" applyAlignment="1">
      <alignment horizontal="center" vertical="center"/>
    </xf>
    <xf numFmtId="0" fontId="7" fillId="4" borderId="0" xfId="19" applyFont="1" applyFill="1" applyBorder="1" applyAlignment="1">
      <alignment vertical="center"/>
    </xf>
    <xf numFmtId="4" fontId="7" fillId="4" borderId="0" xfId="19" applyNumberFormat="1" applyFont="1" applyFill="1" applyAlignment="1">
      <alignment vertical="center"/>
    </xf>
    <xf numFmtId="4" fontId="7" fillId="4" borderId="0" xfId="0" applyNumberFormat="1" applyFont="1" applyFill="1" applyAlignment="1">
      <alignment vertical="center"/>
    </xf>
    <xf numFmtId="0" fontId="5" fillId="4" borderId="0" xfId="17" applyFont="1" applyFill="1" applyBorder="1" applyAlignment="1">
      <alignment horizontal="center" vertical="center" wrapText="1"/>
    </xf>
    <xf numFmtId="43" fontId="5" fillId="4" borderId="0" xfId="18" applyFont="1" applyFill="1" applyBorder="1" applyAlignment="1">
      <alignment vertical="center"/>
    </xf>
    <xf numFmtId="3" fontId="7" fillId="0" borderId="0" xfId="17" applyNumberFormat="1" applyFont="1" applyFill="1" applyBorder="1" applyAlignment="1">
      <alignment vertical="center" wrapText="1"/>
    </xf>
    <xf numFmtId="43" fontId="6" fillId="7" borderId="31" xfId="18" applyFont="1" applyFill="1" applyBorder="1" applyAlignment="1">
      <alignment horizontal="center" vertical="center" wrapText="1"/>
    </xf>
    <xf numFmtId="0" fontId="6" fillId="7" borderId="31" xfId="17" applyFont="1" applyFill="1" applyBorder="1" applyAlignment="1">
      <alignment horizontal="left" vertical="center" wrapText="1"/>
    </xf>
    <xf numFmtId="0" fontId="6" fillId="7" borderId="31" xfId="17" applyFont="1" applyFill="1" applyBorder="1" applyAlignment="1">
      <alignment horizontal="center" vertical="center" wrapText="1"/>
    </xf>
    <xf numFmtId="0" fontId="4" fillId="0" borderId="0" xfId="17" applyFont="1" applyFill="1" applyBorder="1" applyAlignment="1">
      <alignment horizontal="center" vertical="center"/>
    </xf>
    <xf numFmtId="4" fontId="5" fillId="0" borderId="0" xfId="18" applyNumberFormat="1" applyFont="1" applyFill="1" applyBorder="1" applyAlignment="1">
      <alignment horizontal="center" vertical="center"/>
    </xf>
    <xf numFmtId="10" fontId="5" fillId="0" borderId="0" xfId="19" applyNumberFormat="1" applyFont="1" applyFill="1" applyBorder="1" applyAlignment="1">
      <alignment horizontal="center" vertical="center"/>
    </xf>
    <xf numFmtId="4" fontId="4" fillId="0" borderId="0" xfId="18" applyNumberFormat="1" applyFont="1" applyFill="1" applyAlignment="1">
      <alignment vertical="center"/>
    </xf>
    <xf numFmtId="43" fontId="5" fillId="0" borderId="0" xfId="18" applyNumberFormat="1" applyFont="1" applyFill="1" applyBorder="1" applyAlignment="1">
      <alignment vertical="center"/>
    </xf>
    <xf numFmtId="3" fontId="6" fillId="0" borderId="0" xfId="18" applyNumberFormat="1" applyFont="1" applyFill="1" applyBorder="1" applyAlignment="1">
      <alignment horizontal="right" vertical="center" wrapText="1"/>
    </xf>
    <xf numFmtId="0" fontId="6" fillId="0" borderId="0" xfId="17" applyFont="1" applyFill="1" applyBorder="1" applyAlignment="1">
      <alignment horizontal="left" vertical="center" wrapText="1"/>
    </xf>
    <xf numFmtId="3" fontId="5" fillId="0" borderId="0" xfId="20" applyNumberFormat="1" applyFont="1" applyFill="1" applyBorder="1" applyAlignment="1">
      <alignment horizontal="center" vertical="center"/>
    </xf>
    <xf numFmtId="43" fontId="5" fillId="0" borderId="0" xfId="20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4" fontId="7" fillId="0" borderId="0" xfId="20" applyNumberFormat="1" applyFont="1" applyFill="1" applyBorder="1" applyAlignment="1">
      <alignment vertical="center"/>
    </xf>
    <xf numFmtId="43" fontId="14" fillId="7" borderId="31" xfId="18" applyNumberFormat="1" applyFont="1" applyFill="1" applyBorder="1" applyAlignment="1">
      <alignment horizontal="right" vertical="center"/>
    </xf>
    <xf numFmtId="10" fontId="14" fillId="7" borderId="25" xfId="11" applyNumberFormat="1" applyFont="1" applyFill="1" applyBorder="1" applyAlignment="1">
      <alignment vertical="center" wrapText="1"/>
    </xf>
    <xf numFmtId="169" fontId="5" fillId="0" borderId="0" xfId="19" applyNumberFormat="1" applyFont="1" applyFill="1" applyBorder="1" applyAlignment="1">
      <alignment horizontal="center" vertical="center"/>
    </xf>
    <xf numFmtId="0" fontId="7" fillId="0" borderId="29" xfId="17" applyFont="1" applyFill="1" applyBorder="1" applyAlignment="1">
      <alignment vertical="center"/>
    </xf>
    <xf numFmtId="0" fontId="7" fillId="0" borderId="43" xfId="17" applyFont="1" applyFill="1" applyBorder="1" applyAlignment="1">
      <alignment vertical="center"/>
    </xf>
    <xf numFmtId="3" fontId="5" fillId="0" borderId="43" xfId="20" applyNumberFormat="1" applyFont="1" applyFill="1" applyBorder="1" applyAlignment="1">
      <alignment horizontal="center" vertical="center"/>
    </xf>
    <xf numFmtId="0" fontId="5" fillId="0" borderId="43" xfId="17" applyFont="1" applyFill="1" applyBorder="1" applyAlignment="1">
      <alignment horizontal="center" vertical="center"/>
    </xf>
    <xf numFmtId="43" fontId="5" fillId="0" borderId="43" xfId="20" applyFont="1" applyFill="1" applyBorder="1" applyAlignment="1">
      <alignment vertical="center"/>
    </xf>
    <xf numFmtId="169" fontId="5" fillId="0" borderId="43" xfId="19" applyNumberFormat="1" applyFont="1" applyFill="1" applyBorder="1" applyAlignment="1">
      <alignment horizontal="center" vertical="center"/>
    </xf>
    <xf numFmtId="4" fontId="7" fillId="0" borderId="43" xfId="0" applyNumberFormat="1" applyFont="1" applyFill="1" applyBorder="1" applyAlignment="1">
      <alignment vertical="center"/>
    </xf>
    <xf numFmtId="4" fontId="7" fillId="0" borderId="43" xfId="20" applyNumberFormat="1" applyFont="1" applyFill="1" applyBorder="1" applyAlignment="1">
      <alignment vertical="center"/>
    </xf>
    <xf numFmtId="169" fontId="7" fillId="0" borderId="44" xfId="11" applyNumberFormat="1" applyFont="1" applyFill="1" applyBorder="1" applyAlignment="1">
      <alignment vertical="center"/>
    </xf>
    <xf numFmtId="4" fontId="7" fillId="0" borderId="0" xfId="18" applyNumberFormat="1" applyFont="1" applyFill="1" applyBorder="1" applyAlignment="1">
      <alignment vertical="center"/>
    </xf>
    <xf numFmtId="0" fontId="14" fillId="7" borderId="30" xfId="17" applyFont="1" applyFill="1" applyBorder="1" applyAlignment="1">
      <alignment horizontal="center" vertical="center"/>
    </xf>
    <xf numFmtId="0" fontId="14" fillId="7" borderId="31" xfId="17" applyFont="1" applyFill="1" applyBorder="1" applyAlignment="1">
      <alignment horizontal="center" vertical="center"/>
    </xf>
    <xf numFmtId="43" fontId="14" fillId="7" borderId="31" xfId="18" applyFont="1" applyFill="1" applyBorder="1" applyAlignment="1">
      <alignment horizontal="center" vertical="center"/>
    </xf>
    <xf numFmtId="0" fontId="14" fillId="7" borderId="31" xfId="17" applyFont="1" applyFill="1" applyBorder="1" applyAlignment="1">
      <alignment horizontal="left" vertical="center"/>
    </xf>
    <xf numFmtId="0" fontId="14" fillId="7" borderId="31" xfId="17" applyFont="1" applyFill="1" applyBorder="1" applyAlignment="1">
      <alignment horizontal="center" vertical="center"/>
    </xf>
    <xf numFmtId="4" fontId="14" fillId="7" borderId="31" xfId="18" applyNumberFormat="1" applyFont="1" applyFill="1" applyBorder="1" applyAlignment="1">
      <alignment vertical="center"/>
    </xf>
    <xf numFmtId="169" fontId="14" fillId="7" borderId="25" xfId="11" applyNumberFormat="1" applyFont="1" applyFill="1" applyBorder="1" applyAlignment="1">
      <alignment vertical="center"/>
    </xf>
    <xf numFmtId="43" fontId="7" fillId="0" borderId="0" xfId="17" applyNumberFormat="1" applyFont="1" applyFill="1" applyBorder="1" applyAlignment="1">
      <alignment horizontal="left" vertical="center"/>
    </xf>
    <xf numFmtId="43" fontId="4" fillId="0" borderId="0" xfId="20" applyFont="1" applyFill="1" applyBorder="1" applyAlignment="1">
      <alignment vertical="center"/>
    </xf>
    <xf numFmtId="169" fontId="4" fillId="0" borderId="0" xfId="11" applyNumberFormat="1" applyFont="1" applyFill="1" applyBorder="1" applyAlignment="1">
      <alignment horizontal="center" vertical="center"/>
    </xf>
    <xf numFmtId="10" fontId="7" fillId="0" borderId="0" xfId="11" applyNumberFormat="1" applyFont="1" applyFill="1" applyBorder="1" applyAlignment="1">
      <alignment horizontal="left" vertical="center"/>
    </xf>
    <xf numFmtId="10" fontId="7" fillId="0" borderId="0" xfId="17" applyNumberFormat="1" applyFont="1" applyFill="1" applyBorder="1" applyAlignment="1">
      <alignment vertical="center"/>
    </xf>
    <xf numFmtId="0" fontId="7" fillId="0" borderId="0" xfId="17" applyFont="1" applyFill="1" applyBorder="1" applyAlignment="1">
      <alignment horizontal="right" vertical="center"/>
    </xf>
    <xf numFmtId="43" fontId="7" fillId="0" borderId="0" xfId="18" applyFont="1" applyFill="1" applyBorder="1" applyAlignment="1">
      <alignment horizontal="right" vertical="center"/>
    </xf>
  </cellXfs>
  <cellStyles count="21">
    <cellStyle name="Millares 2" xfId="1"/>
    <cellStyle name="Millares 2 2" xfId="20"/>
    <cellStyle name="Millares_01 - Estructura de Costos BARRIDO" xfId="18"/>
    <cellStyle name="Normal" xfId="0" builtinId="0"/>
    <cellStyle name="Normal 2" xfId="2"/>
    <cellStyle name="Normal 3" xfId="3"/>
    <cellStyle name="Normal 3 2" xfId="4"/>
    <cellStyle name="Normal 4" xfId="5"/>
    <cellStyle name="Normal 4 2" xfId="6"/>
    <cellStyle name="Normal 4_Anexos EVT MSS v24abr2012" xfId="7"/>
    <cellStyle name="Normal 5" xfId="8"/>
    <cellStyle name="Normal_01 - Estructura de Costos BARRIDO" xfId="19"/>
    <cellStyle name="Normal_ESTRUCTURA DE COSTOS A NOVIEMBRE 2005_01 - Estructura de Costos BARRIDO" xfId="17"/>
    <cellStyle name="Porcentaje 2" xfId="10"/>
    <cellStyle name="Porcentaje 3" xfId="11"/>
    <cellStyle name="Porcentaje 4" xfId="12"/>
    <cellStyle name="Porcentaje 5" xfId="9"/>
    <cellStyle name="Porcentual 2" xfId="13"/>
    <cellStyle name="Porcentual 2 2" xfId="14"/>
    <cellStyle name="Porcentual 3" xfId="15"/>
    <cellStyle name="Porcentual 3 2" xfId="16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ESTACIONAMIENTO%20VEHICULAR/NUEVA%20ORDENANZA/INFORMACION%20PRELIMINAR%20RAFAEL/OK%20MDLM%20PARQUEO%202015%20-%20Estructura%20de%20Cos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 de Costos SEV"/>
      <sheetName val="Estimación de Ingresos"/>
      <sheetName val="ManoObra"/>
      <sheetName val="Mantenimiento"/>
      <sheetName val="Materiales"/>
      <sheetName val="Materiales Indirectos"/>
      <sheetName val="Pintura Blanca"/>
      <sheetName val="Pintura Amarilla"/>
      <sheetName val="Pintura Azul"/>
      <sheetName val="SeñalesVert"/>
      <sheetName val="Costo Fijo"/>
    </sheetNames>
    <sheetDataSet>
      <sheetData sheetId="0">
        <row r="55">
          <cell r="K55">
            <v>2082125.61</v>
          </cell>
        </row>
      </sheetData>
      <sheetData sheetId="1" refreshError="1"/>
      <sheetData sheetId="2" refreshError="1"/>
      <sheetData sheetId="3" refreshError="1"/>
      <sheetData sheetId="4">
        <row r="4">
          <cell r="B4">
            <v>41503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9"/>
  <sheetViews>
    <sheetView tabSelected="1" topLeftCell="A16" zoomScale="95" zoomScaleNormal="95" workbookViewId="0">
      <selection activeCell="L36" sqref="L36"/>
    </sheetView>
  </sheetViews>
  <sheetFormatPr baseColWidth="10" defaultRowHeight="11.25" x14ac:dyDescent="0.2"/>
  <cols>
    <col min="1" max="1" width="11.42578125" style="3"/>
    <col min="2" max="2" width="7.85546875" style="3" customWidth="1"/>
    <col min="3" max="3" width="24.5703125" style="3" bestFit="1" customWidth="1"/>
    <col min="4" max="4" width="8" style="4" bestFit="1" customWidth="1"/>
    <col min="5" max="5" width="7.140625" style="3" bestFit="1" customWidth="1"/>
    <col min="6" max="6" width="5.28515625" style="3" bestFit="1" customWidth="1"/>
    <col min="7" max="7" width="12.85546875" style="3" bestFit="1" customWidth="1"/>
    <col min="8" max="8" width="10.7109375" style="3" bestFit="1" customWidth="1"/>
    <col min="9" max="10" width="9.42578125" style="3" bestFit="1" customWidth="1"/>
    <col min="11" max="11" width="11.42578125" style="3"/>
    <col min="12" max="12" width="11.42578125" style="4"/>
    <col min="13" max="16384" width="11.42578125" style="3"/>
  </cols>
  <sheetData>
    <row r="1" spans="2:12" x14ac:dyDescent="0.2">
      <c r="B1" s="133" t="s">
        <v>42</v>
      </c>
      <c r="C1" s="133"/>
      <c r="D1" s="133"/>
      <c r="E1" s="133"/>
      <c r="F1" s="133"/>
      <c r="G1" s="133"/>
      <c r="H1" s="133"/>
      <c r="I1" s="133"/>
      <c r="J1" s="133"/>
      <c r="K1" s="1"/>
      <c r="L1" s="2"/>
    </row>
    <row r="2" spans="2:12" x14ac:dyDescent="0.2">
      <c r="B2" s="133" t="s">
        <v>43</v>
      </c>
      <c r="C2" s="133"/>
      <c r="D2" s="133"/>
      <c r="E2" s="133"/>
      <c r="F2" s="133"/>
      <c r="G2" s="133"/>
      <c r="H2" s="133"/>
      <c r="I2" s="133"/>
      <c r="J2" s="133"/>
      <c r="K2" s="1"/>
      <c r="L2" s="2"/>
    </row>
    <row r="3" spans="2:12" x14ac:dyDescent="0.2">
      <c r="B3" s="133" t="s">
        <v>51</v>
      </c>
      <c r="C3" s="133"/>
      <c r="D3" s="133"/>
      <c r="E3" s="133"/>
      <c r="F3" s="133"/>
      <c r="G3" s="133"/>
      <c r="H3" s="133"/>
      <c r="I3" s="133"/>
      <c r="J3" s="133"/>
      <c r="K3" s="1"/>
      <c r="L3" s="2"/>
    </row>
    <row r="4" spans="2:12" ht="12" thickBot="1" x14ac:dyDescent="0.25"/>
    <row r="5" spans="2:12" ht="36.75" thickBot="1" x14ac:dyDescent="0.25">
      <c r="B5" s="101" t="s">
        <v>11</v>
      </c>
      <c r="C5" s="102" t="s">
        <v>12</v>
      </c>
      <c r="D5" s="102" t="s">
        <v>13</v>
      </c>
      <c r="E5" s="103" t="s">
        <v>21</v>
      </c>
      <c r="F5" s="104" t="s">
        <v>44</v>
      </c>
      <c r="G5" s="101" t="s">
        <v>14</v>
      </c>
      <c r="H5" s="102" t="s">
        <v>17</v>
      </c>
      <c r="I5" s="102" t="s">
        <v>15</v>
      </c>
      <c r="J5" s="103" t="s">
        <v>16</v>
      </c>
    </row>
    <row r="6" spans="2:12" ht="12" thickBot="1" x14ac:dyDescent="0.25">
      <c r="B6" s="5" t="s">
        <v>0</v>
      </c>
      <c r="C6" s="142" t="s">
        <v>18</v>
      </c>
      <c r="D6" s="143"/>
      <c r="E6" s="144"/>
      <c r="F6" s="6"/>
      <c r="G6" s="7">
        <f>SUM(G7:G8)</f>
        <v>65</v>
      </c>
      <c r="H6" s="8">
        <f>SUM(H7:H8)</f>
        <v>3</v>
      </c>
      <c r="I6" s="8"/>
      <c r="J6" s="9">
        <f>SUM(J7:J8)</f>
        <v>6</v>
      </c>
    </row>
    <row r="7" spans="2:12" x14ac:dyDescent="0.2">
      <c r="B7" s="10">
        <v>1</v>
      </c>
      <c r="C7" s="11" t="s">
        <v>19</v>
      </c>
      <c r="D7" s="12" t="s">
        <v>1</v>
      </c>
      <c r="E7" s="13">
        <v>3</v>
      </c>
      <c r="F7" s="14" t="s">
        <v>47</v>
      </c>
      <c r="G7" s="15">
        <v>46</v>
      </c>
      <c r="H7" s="16">
        <v>2</v>
      </c>
      <c r="I7" s="127">
        <v>2</v>
      </c>
      <c r="J7" s="17">
        <v>4</v>
      </c>
    </row>
    <row r="8" spans="2:12" ht="12" thickBot="1" x14ac:dyDescent="0.25">
      <c r="B8" s="18">
        <v>2</v>
      </c>
      <c r="C8" s="19" t="s">
        <v>20</v>
      </c>
      <c r="D8" s="20" t="s">
        <v>1</v>
      </c>
      <c r="E8" s="21">
        <v>1</v>
      </c>
      <c r="F8" s="22" t="s">
        <v>47</v>
      </c>
      <c r="G8" s="23">
        <v>19</v>
      </c>
      <c r="H8" s="24">
        <v>1</v>
      </c>
      <c r="I8" s="148"/>
      <c r="J8" s="25">
        <v>2</v>
      </c>
    </row>
    <row r="9" spans="2:12" ht="27" customHeight="1" thickBot="1" x14ac:dyDescent="0.25">
      <c r="B9" s="26" t="s">
        <v>2</v>
      </c>
      <c r="C9" s="142" t="s">
        <v>22</v>
      </c>
      <c r="D9" s="143"/>
      <c r="E9" s="145"/>
      <c r="F9" s="27"/>
      <c r="G9" s="7">
        <f>SUM(G10:G15)</f>
        <v>195</v>
      </c>
      <c r="H9" s="8">
        <f>SUM(H10:H15)</f>
        <v>11</v>
      </c>
      <c r="I9" s="8"/>
      <c r="J9" s="9">
        <f>SUM(J10:J15)</f>
        <v>22</v>
      </c>
    </row>
    <row r="10" spans="2:12" x14ac:dyDescent="0.2">
      <c r="B10" s="28">
        <v>3</v>
      </c>
      <c r="C10" s="29" t="s">
        <v>23</v>
      </c>
      <c r="D10" s="30" t="s">
        <v>5</v>
      </c>
      <c r="E10" s="31">
        <v>9</v>
      </c>
      <c r="F10" s="22" t="s">
        <v>48</v>
      </c>
      <c r="G10" s="23">
        <f>52</f>
        <v>52</v>
      </c>
      <c r="H10" s="32">
        <v>3</v>
      </c>
      <c r="I10" s="149">
        <v>2</v>
      </c>
      <c r="J10" s="33">
        <v>6</v>
      </c>
    </row>
    <row r="11" spans="2:12" x14ac:dyDescent="0.2">
      <c r="B11" s="136">
        <v>4</v>
      </c>
      <c r="C11" s="134" t="s">
        <v>24</v>
      </c>
      <c r="D11" s="129" t="s">
        <v>1</v>
      </c>
      <c r="E11" s="129">
        <v>1</v>
      </c>
      <c r="F11" s="22" t="s">
        <v>48</v>
      </c>
      <c r="G11" s="23">
        <v>20</v>
      </c>
      <c r="H11" s="131">
        <v>3</v>
      </c>
      <c r="I11" s="149"/>
      <c r="J11" s="117">
        <v>6</v>
      </c>
    </row>
    <row r="12" spans="2:12" x14ac:dyDescent="0.2">
      <c r="B12" s="137"/>
      <c r="C12" s="135"/>
      <c r="D12" s="130"/>
      <c r="E12" s="130"/>
      <c r="F12" s="34" t="s">
        <v>47</v>
      </c>
      <c r="G12" s="23">
        <v>33</v>
      </c>
      <c r="H12" s="132"/>
      <c r="I12" s="149"/>
      <c r="J12" s="118"/>
    </row>
    <row r="13" spans="2:12" x14ac:dyDescent="0.2">
      <c r="B13" s="136">
        <v>5</v>
      </c>
      <c r="C13" s="134" t="s">
        <v>25</v>
      </c>
      <c r="D13" s="129" t="s">
        <v>1</v>
      </c>
      <c r="E13" s="129">
        <v>1</v>
      </c>
      <c r="F13" s="21" t="s">
        <v>48</v>
      </c>
      <c r="G13" s="35">
        <v>28</v>
      </c>
      <c r="H13" s="131">
        <v>4</v>
      </c>
      <c r="I13" s="149"/>
      <c r="J13" s="117">
        <v>8</v>
      </c>
    </row>
    <row r="14" spans="2:12" x14ac:dyDescent="0.2">
      <c r="B14" s="137"/>
      <c r="C14" s="135"/>
      <c r="D14" s="130"/>
      <c r="E14" s="130"/>
      <c r="F14" s="21" t="s">
        <v>47</v>
      </c>
      <c r="G14" s="35">
        <v>46</v>
      </c>
      <c r="H14" s="132"/>
      <c r="I14" s="149"/>
      <c r="J14" s="118"/>
    </row>
    <row r="15" spans="2:12" ht="12" thickBot="1" x14ac:dyDescent="0.25">
      <c r="B15" s="36">
        <v>6</v>
      </c>
      <c r="C15" s="37" t="s">
        <v>26</v>
      </c>
      <c r="D15" s="38" t="s">
        <v>1</v>
      </c>
      <c r="E15" s="39">
        <v>4</v>
      </c>
      <c r="F15" s="34" t="s">
        <v>48</v>
      </c>
      <c r="G15" s="40">
        <v>16</v>
      </c>
      <c r="H15" s="41">
        <v>1</v>
      </c>
      <c r="I15" s="149"/>
      <c r="J15" s="42">
        <v>2</v>
      </c>
    </row>
    <row r="16" spans="2:12" ht="12" thickBot="1" x14ac:dyDescent="0.25">
      <c r="B16" s="5" t="s">
        <v>3</v>
      </c>
      <c r="C16" s="146" t="s">
        <v>27</v>
      </c>
      <c r="D16" s="147"/>
      <c r="E16" s="144"/>
      <c r="F16" s="6"/>
      <c r="G16" s="43">
        <f>SUM(G17:G18)</f>
        <v>24</v>
      </c>
      <c r="H16" s="44">
        <f>SUM(H17:H17)</f>
        <v>2</v>
      </c>
      <c r="I16" s="45"/>
      <c r="J16" s="46">
        <f>SUM(J17:J17)</f>
        <v>4</v>
      </c>
    </row>
    <row r="17" spans="2:10" x14ac:dyDescent="0.2">
      <c r="B17" s="109">
        <v>7</v>
      </c>
      <c r="C17" s="111" t="s">
        <v>28</v>
      </c>
      <c r="D17" s="119" t="s">
        <v>45</v>
      </c>
      <c r="E17" s="121">
        <v>1</v>
      </c>
      <c r="F17" s="47" t="s">
        <v>48</v>
      </c>
      <c r="G17" s="48">
        <v>11</v>
      </c>
      <c r="H17" s="123">
        <v>2</v>
      </c>
      <c r="I17" s="127">
        <v>2</v>
      </c>
      <c r="J17" s="125">
        <v>4</v>
      </c>
    </row>
    <row r="18" spans="2:10" ht="12" thickBot="1" x14ac:dyDescent="0.25">
      <c r="B18" s="110"/>
      <c r="C18" s="112"/>
      <c r="D18" s="120"/>
      <c r="E18" s="122"/>
      <c r="F18" s="49" t="s">
        <v>47</v>
      </c>
      <c r="G18" s="50">
        <v>13</v>
      </c>
      <c r="H18" s="124"/>
      <c r="I18" s="128"/>
      <c r="J18" s="126"/>
    </row>
    <row r="19" spans="2:10" ht="30.75" customHeight="1" thickBot="1" x14ac:dyDescent="0.25">
      <c r="B19" s="26" t="s">
        <v>4</v>
      </c>
      <c r="C19" s="142" t="s">
        <v>29</v>
      </c>
      <c r="D19" s="143"/>
      <c r="E19" s="145"/>
      <c r="F19" s="27"/>
      <c r="G19" s="7">
        <f>SUM(G20:G23)</f>
        <v>129</v>
      </c>
      <c r="H19" s="8">
        <f>SUM(H20:H23)</f>
        <v>8</v>
      </c>
      <c r="I19" s="8"/>
      <c r="J19" s="9">
        <f>SUM(J20:J23)</f>
        <v>16</v>
      </c>
    </row>
    <row r="20" spans="2:10" x14ac:dyDescent="0.2">
      <c r="B20" s="51">
        <v>8</v>
      </c>
      <c r="C20" s="52" t="s">
        <v>50</v>
      </c>
      <c r="D20" s="53" t="s">
        <v>1</v>
      </c>
      <c r="E20" s="54">
        <v>2</v>
      </c>
      <c r="F20" s="55" t="s">
        <v>48</v>
      </c>
      <c r="G20" s="23">
        <v>53</v>
      </c>
      <c r="H20" s="32">
        <v>3</v>
      </c>
      <c r="I20" s="149">
        <v>2</v>
      </c>
      <c r="J20" s="33">
        <v>6</v>
      </c>
    </row>
    <row r="21" spans="2:10" x14ac:dyDescent="0.2">
      <c r="B21" s="56">
        <v>9</v>
      </c>
      <c r="C21" s="57" t="s">
        <v>49</v>
      </c>
      <c r="D21" s="58" t="s">
        <v>1</v>
      </c>
      <c r="E21" s="58">
        <v>1</v>
      </c>
      <c r="F21" s="59" t="s">
        <v>48</v>
      </c>
      <c r="G21" s="60">
        <v>34</v>
      </c>
      <c r="H21" s="41">
        <v>2</v>
      </c>
      <c r="I21" s="149"/>
      <c r="J21" s="42">
        <v>4</v>
      </c>
    </row>
    <row r="22" spans="2:10" x14ac:dyDescent="0.2">
      <c r="B22" s="61">
        <v>10</v>
      </c>
      <c r="C22" s="62" t="s">
        <v>31</v>
      </c>
      <c r="D22" s="63" t="s">
        <v>5</v>
      </c>
      <c r="E22" s="64">
        <v>11</v>
      </c>
      <c r="F22" s="59" t="s">
        <v>47</v>
      </c>
      <c r="G22" s="60">
        <v>23</v>
      </c>
      <c r="H22" s="24">
        <v>2</v>
      </c>
      <c r="I22" s="149"/>
      <c r="J22" s="25">
        <v>4</v>
      </c>
    </row>
    <row r="23" spans="2:10" ht="12" thickBot="1" x14ac:dyDescent="0.25">
      <c r="B23" s="56">
        <v>11</v>
      </c>
      <c r="C23" s="57" t="s">
        <v>30</v>
      </c>
      <c r="D23" s="65" t="s">
        <v>45</v>
      </c>
      <c r="E23" s="64">
        <v>4</v>
      </c>
      <c r="F23" s="59" t="s">
        <v>47</v>
      </c>
      <c r="G23" s="60">
        <v>19</v>
      </c>
      <c r="H23" s="41">
        <v>1</v>
      </c>
      <c r="I23" s="149"/>
      <c r="J23" s="42">
        <v>2</v>
      </c>
    </row>
    <row r="24" spans="2:10" ht="12" thickBot="1" x14ac:dyDescent="0.25">
      <c r="B24" s="5" t="s">
        <v>6</v>
      </c>
      <c r="C24" s="142" t="s">
        <v>32</v>
      </c>
      <c r="D24" s="143"/>
      <c r="E24" s="145"/>
      <c r="F24" s="27"/>
      <c r="G24" s="7">
        <f>SUM(G25:G27)</f>
        <v>102</v>
      </c>
      <c r="H24" s="8">
        <f>SUM(H25:H27)</f>
        <v>7</v>
      </c>
      <c r="I24" s="8"/>
      <c r="J24" s="9">
        <f>SUM(J25:J27)</f>
        <v>14</v>
      </c>
    </row>
    <row r="25" spans="2:10" x14ac:dyDescent="0.2">
      <c r="B25" s="66">
        <v>12</v>
      </c>
      <c r="C25" s="67" t="s">
        <v>33</v>
      </c>
      <c r="D25" s="68" t="s">
        <v>1</v>
      </c>
      <c r="E25" s="47">
        <v>1</v>
      </c>
      <c r="F25" s="69" t="s">
        <v>48</v>
      </c>
      <c r="G25" s="23">
        <v>43</v>
      </c>
      <c r="H25" s="32">
        <v>3</v>
      </c>
      <c r="I25" s="149">
        <v>2</v>
      </c>
      <c r="J25" s="33">
        <v>6</v>
      </c>
    </row>
    <row r="26" spans="2:10" x14ac:dyDescent="0.2">
      <c r="B26" s="70">
        <v>13</v>
      </c>
      <c r="C26" s="71" t="s">
        <v>34</v>
      </c>
      <c r="D26" s="72" t="s">
        <v>1</v>
      </c>
      <c r="E26" s="63">
        <v>7</v>
      </c>
      <c r="F26" s="69" t="s">
        <v>47</v>
      </c>
      <c r="G26" s="23">
        <v>30</v>
      </c>
      <c r="H26" s="73">
        <v>2</v>
      </c>
      <c r="I26" s="149"/>
      <c r="J26" s="25">
        <v>4</v>
      </c>
    </row>
    <row r="27" spans="2:10" ht="12" thickBot="1" x14ac:dyDescent="0.25">
      <c r="B27" s="74">
        <v>14</v>
      </c>
      <c r="C27" s="75" t="s">
        <v>35</v>
      </c>
      <c r="D27" s="76" t="s">
        <v>1</v>
      </c>
      <c r="E27" s="49">
        <v>1</v>
      </c>
      <c r="F27" s="77" t="s">
        <v>47</v>
      </c>
      <c r="G27" s="40">
        <v>29</v>
      </c>
      <c r="H27" s="78">
        <v>2</v>
      </c>
      <c r="I27" s="149"/>
      <c r="J27" s="42">
        <v>4</v>
      </c>
    </row>
    <row r="28" spans="2:10" ht="12" thickBot="1" x14ac:dyDescent="0.25">
      <c r="B28" s="26" t="s">
        <v>7</v>
      </c>
      <c r="C28" s="142" t="s">
        <v>36</v>
      </c>
      <c r="D28" s="143"/>
      <c r="E28" s="145"/>
      <c r="F28" s="27"/>
      <c r="G28" s="7">
        <f>SUM(G29:G30)</f>
        <v>58</v>
      </c>
      <c r="H28" s="8">
        <f>+H29+H30</f>
        <v>4</v>
      </c>
      <c r="I28" s="79"/>
      <c r="J28" s="9">
        <f>+J29+J30</f>
        <v>8</v>
      </c>
    </row>
    <row r="29" spans="2:10" x14ac:dyDescent="0.2">
      <c r="B29" s="51">
        <v>15</v>
      </c>
      <c r="C29" s="80" t="s">
        <v>31</v>
      </c>
      <c r="D29" s="81" t="s">
        <v>5</v>
      </c>
      <c r="E29" s="47">
        <v>28</v>
      </c>
      <c r="F29" s="69" t="s">
        <v>48</v>
      </c>
      <c r="G29" s="23">
        <v>44</v>
      </c>
      <c r="H29" s="82">
        <v>3</v>
      </c>
      <c r="I29" s="138">
        <v>2</v>
      </c>
      <c r="J29" s="83">
        <v>6</v>
      </c>
    </row>
    <row r="30" spans="2:10" ht="12" thickBot="1" x14ac:dyDescent="0.25">
      <c r="B30" s="70">
        <v>16</v>
      </c>
      <c r="C30" s="71" t="s">
        <v>37</v>
      </c>
      <c r="D30" s="64" t="s">
        <v>1</v>
      </c>
      <c r="E30" s="63">
        <v>4</v>
      </c>
      <c r="F30" s="84" t="s">
        <v>48</v>
      </c>
      <c r="G30" s="60">
        <v>14</v>
      </c>
      <c r="H30" s="73">
        <v>1</v>
      </c>
      <c r="I30" s="138"/>
      <c r="J30" s="85">
        <v>2</v>
      </c>
    </row>
    <row r="31" spans="2:10" ht="12" thickBot="1" x14ac:dyDescent="0.25">
      <c r="B31" s="5" t="s">
        <v>8</v>
      </c>
      <c r="C31" s="142" t="s">
        <v>38</v>
      </c>
      <c r="D31" s="143"/>
      <c r="E31" s="145"/>
      <c r="F31" s="27"/>
      <c r="G31" s="7">
        <f>SUM(G32:G33)</f>
        <v>90</v>
      </c>
      <c r="H31" s="8">
        <f>+H32</f>
        <v>6</v>
      </c>
      <c r="I31" s="79"/>
      <c r="J31" s="9">
        <f>+J32</f>
        <v>12</v>
      </c>
    </row>
    <row r="32" spans="2:10" x14ac:dyDescent="0.2">
      <c r="B32" s="109">
        <v>17</v>
      </c>
      <c r="C32" s="111" t="s">
        <v>40</v>
      </c>
      <c r="D32" s="113" t="s">
        <v>1</v>
      </c>
      <c r="E32" s="115">
        <v>1</v>
      </c>
      <c r="F32" s="86" t="s">
        <v>48</v>
      </c>
      <c r="G32" s="15">
        <v>55</v>
      </c>
      <c r="H32" s="105">
        <v>6</v>
      </c>
      <c r="I32" s="105">
        <v>2</v>
      </c>
      <c r="J32" s="107">
        <v>12</v>
      </c>
    </row>
    <row r="33" spans="2:10" ht="12" thickBot="1" x14ac:dyDescent="0.25">
      <c r="B33" s="110"/>
      <c r="C33" s="112"/>
      <c r="D33" s="114"/>
      <c r="E33" s="116"/>
      <c r="F33" s="87" t="s">
        <v>47</v>
      </c>
      <c r="G33" s="88">
        <v>35</v>
      </c>
      <c r="H33" s="106"/>
      <c r="I33" s="106"/>
      <c r="J33" s="108"/>
    </row>
    <row r="34" spans="2:10" ht="29.25" customHeight="1" thickBot="1" x14ac:dyDescent="0.25">
      <c r="B34" s="26" t="s">
        <v>9</v>
      </c>
      <c r="C34" s="142" t="s">
        <v>39</v>
      </c>
      <c r="D34" s="143"/>
      <c r="E34" s="145"/>
      <c r="F34" s="27"/>
      <c r="G34" s="7">
        <f>SUM(G35:G35)</f>
        <v>44</v>
      </c>
      <c r="H34" s="8">
        <f>+H35</f>
        <v>3</v>
      </c>
      <c r="I34" s="79"/>
      <c r="J34" s="9">
        <f>+J35</f>
        <v>6</v>
      </c>
    </row>
    <row r="35" spans="2:10" ht="12" thickBot="1" x14ac:dyDescent="0.25">
      <c r="B35" s="89">
        <v>18</v>
      </c>
      <c r="C35" s="90" t="s">
        <v>41</v>
      </c>
      <c r="D35" s="91" t="s">
        <v>46</v>
      </c>
      <c r="E35" s="92">
        <v>58</v>
      </c>
      <c r="F35" s="93" t="s">
        <v>48</v>
      </c>
      <c r="G35" s="88">
        <v>44</v>
      </c>
      <c r="H35" s="94">
        <v>3</v>
      </c>
      <c r="I35" s="94">
        <v>2</v>
      </c>
      <c r="J35" s="95">
        <v>6</v>
      </c>
    </row>
    <row r="36" spans="2:10" ht="6.75" customHeight="1" thickBot="1" x14ac:dyDescent="0.25">
      <c r="B36" s="96"/>
      <c r="C36" s="96"/>
      <c r="D36" s="96"/>
      <c r="E36" s="96"/>
      <c r="F36" s="96"/>
      <c r="G36" s="97"/>
      <c r="H36" s="98"/>
      <c r="I36" s="98"/>
      <c r="J36" s="98"/>
    </row>
    <row r="37" spans="2:10" ht="12" thickBot="1" x14ac:dyDescent="0.25">
      <c r="B37" s="139" t="s">
        <v>10</v>
      </c>
      <c r="C37" s="140"/>
      <c r="D37" s="140"/>
      <c r="E37" s="141"/>
      <c r="F37" s="99"/>
      <c r="G37" s="7">
        <f>+G6+G9+G16+G19+G24+G28+G31+G34</f>
        <v>707</v>
      </c>
      <c r="H37" s="7">
        <f>+H6+H9+H16+H19+H24+H28+H31+H34</f>
        <v>44</v>
      </c>
      <c r="I37" s="7">
        <v>2</v>
      </c>
      <c r="J37" s="100">
        <f>+J6+J9+J16+J19+J24+J28+J31+J34</f>
        <v>88</v>
      </c>
    </row>
    <row r="39" spans="2:10" hidden="1" x14ac:dyDescent="0.2">
      <c r="G39" s="4">
        <f>985-L37</f>
        <v>985</v>
      </c>
      <c r="H39" s="4">
        <v>53</v>
      </c>
      <c r="I39" s="4"/>
      <c r="J39" s="4">
        <v>106</v>
      </c>
    </row>
  </sheetData>
  <mergeCells count="43">
    <mergeCell ref="I29:I30"/>
    <mergeCell ref="B37:E37"/>
    <mergeCell ref="C6:E6"/>
    <mergeCell ref="C9:E9"/>
    <mergeCell ref="C16:E16"/>
    <mergeCell ref="C19:E19"/>
    <mergeCell ref="C24:E24"/>
    <mergeCell ref="C28:E28"/>
    <mergeCell ref="C31:E31"/>
    <mergeCell ref="C34:E34"/>
    <mergeCell ref="I7:I8"/>
    <mergeCell ref="I10:I15"/>
    <mergeCell ref="I20:I23"/>
    <mergeCell ref="I25:I27"/>
    <mergeCell ref="B13:B14"/>
    <mergeCell ref="C13:C14"/>
    <mergeCell ref="B1:J1"/>
    <mergeCell ref="B2:J2"/>
    <mergeCell ref="B3:J3"/>
    <mergeCell ref="H11:H12"/>
    <mergeCell ref="J11:J12"/>
    <mergeCell ref="E11:E12"/>
    <mergeCell ref="D11:D12"/>
    <mergeCell ref="C11:C12"/>
    <mergeCell ref="B11:B12"/>
    <mergeCell ref="J13:J14"/>
    <mergeCell ref="B17:B18"/>
    <mergeCell ref="C17:C18"/>
    <mergeCell ref="D17:D18"/>
    <mergeCell ref="E17:E18"/>
    <mergeCell ref="H17:H18"/>
    <mergeCell ref="J17:J18"/>
    <mergeCell ref="I17:I18"/>
    <mergeCell ref="D13:D14"/>
    <mergeCell ref="E13:E14"/>
    <mergeCell ref="H13:H14"/>
    <mergeCell ref="H32:H33"/>
    <mergeCell ref="J32:J33"/>
    <mergeCell ref="I32:I33"/>
    <mergeCell ref="B32:B33"/>
    <mergeCell ref="C32:C33"/>
    <mergeCell ref="D32:D33"/>
    <mergeCell ref="E32:E3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Q64"/>
  <sheetViews>
    <sheetView zoomScale="90" zoomScaleNormal="90" workbookViewId="0">
      <selection activeCell="D31" sqref="D31"/>
    </sheetView>
  </sheetViews>
  <sheetFormatPr baseColWidth="10" defaultRowHeight="11.25" x14ac:dyDescent="0.25"/>
  <cols>
    <col min="1" max="1" width="2.28515625" style="198" customWidth="1"/>
    <col min="2" max="3" width="1.85546875" style="198" customWidth="1"/>
    <col min="4" max="4" width="36.5703125" style="198" customWidth="1"/>
    <col min="5" max="5" width="9.5703125" style="201" bestFit="1" customWidth="1"/>
    <col min="6" max="6" width="9.7109375" style="202" bestFit="1" customWidth="1"/>
    <col min="7" max="7" width="8.7109375" style="201" bestFit="1" customWidth="1"/>
    <col min="8" max="8" width="10.85546875" style="198" bestFit="1" customWidth="1"/>
    <col min="9" max="9" width="13" style="198" bestFit="1" customWidth="1"/>
    <col min="10" max="10" width="11.85546875" style="201" bestFit="1" customWidth="1"/>
    <col min="11" max="11" width="14" style="201" bestFit="1" customWidth="1"/>
    <col min="12" max="12" width="7.7109375" style="203" bestFit="1" customWidth="1"/>
    <col min="13" max="13" width="11.42578125" style="198"/>
    <col min="14" max="14" width="12.85546875" style="199" hidden="1" customWidth="1"/>
    <col min="15" max="15" width="11.42578125" style="198"/>
    <col min="16" max="17" width="11.7109375" style="198" bestFit="1" customWidth="1"/>
    <col min="18" max="16384" width="11.42578125" style="198"/>
  </cols>
  <sheetData>
    <row r="2" spans="2:17" x14ac:dyDescent="0.2">
      <c r="C2" s="133" t="s">
        <v>42</v>
      </c>
      <c r="D2" s="133"/>
      <c r="E2" s="133"/>
      <c r="F2" s="133"/>
      <c r="G2" s="133"/>
      <c r="H2" s="133"/>
      <c r="I2" s="133"/>
      <c r="J2" s="133"/>
      <c r="K2" s="133"/>
      <c r="L2" s="133"/>
    </row>
    <row r="3" spans="2:17" x14ac:dyDescent="0.2">
      <c r="C3" s="133" t="s">
        <v>135</v>
      </c>
      <c r="D3" s="133"/>
      <c r="E3" s="133"/>
      <c r="F3" s="133"/>
      <c r="G3" s="133"/>
      <c r="H3" s="133"/>
      <c r="I3" s="133"/>
      <c r="J3" s="133"/>
      <c r="K3" s="133"/>
      <c r="L3" s="133"/>
    </row>
    <row r="4" spans="2:17" x14ac:dyDescent="0.2">
      <c r="C4" s="133" t="s">
        <v>136</v>
      </c>
      <c r="D4" s="133"/>
      <c r="E4" s="133"/>
      <c r="F4" s="133"/>
      <c r="G4" s="133"/>
      <c r="H4" s="133"/>
      <c r="I4" s="133"/>
      <c r="J4" s="133"/>
      <c r="K4" s="133"/>
      <c r="L4" s="133"/>
    </row>
    <row r="6" spans="2:17" ht="26.25" customHeight="1" x14ac:dyDescent="0.25">
      <c r="B6" s="200" t="s">
        <v>137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</row>
    <row r="7" spans="2:17" ht="12" thickBot="1" x14ac:dyDescent="0.3"/>
    <row r="8" spans="2:17" s="210" customFormat="1" ht="42.75" customHeight="1" thickBot="1" x14ac:dyDescent="0.3">
      <c r="B8" s="204" t="s">
        <v>138</v>
      </c>
      <c r="C8" s="205"/>
      <c r="D8" s="205"/>
      <c r="E8" s="206" t="s">
        <v>139</v>
      </c>
      <c r="F8" s="207" t="s">
        <v>140</v>
      </c>
      <c r="G8" s="208" t="s">
        <v>141</v>
      </c>
      <c r="H8" s="207" t="s">
        <v>142</v>
      </c>
      <c r="I8" s="207" t="s">
        <v>143</v>
      </c>
      <c r="J8" s="208" t="s">
        <v>144</v>
      </c>
      <c r="K8" s="208" t="s">
        <v>145</v>
      </c>
      <c r="L8" s="209" t="s">
        <v>146</v>
      </c>
      <c r="N8" s="211"/>
    </row>
    <row r="9" spans="2:17" s="210" customFormat="1" ht="12" thickBot="1" x14ac:dyDescent="0.3">
      <c r="B9" s="212" t="s">
        <v>147</v>
      </c>
      <c r="C9" s="213"/>
      <c r="D9" s="214"/>
      <c r="E9" s="215"/>
      <c r="F9" s="216"/>
      <c r="G9" s="215"/>
      <c r="H9" s="214"/>
      <c r="I9" s="214"/>
      <c r="J9" s="217">
        <f>+J13+J10+J25</f>
        <v>161706.57166666668</v>
      </c>
      <c r="K9" s="217">
        <f>+K13+K10+K25</f>
        <v>1940478.86</v>
      </c>
      <c r="L9" s="218">
        <f>K9/K55</f>
        <v>0.93197012259025047</v>
      </c>
      <c r="N9" s="211"/>
    </row>
    <row r="10" spans="2:17" s="210" customFormat="1" x14ac:dyDescent="0.25">
      <c r="B10" s="219"/>
      <c r="C10" s="220" t="s">
        <v>148</v>
      </c>
      <c r="D10" s="221"/>
      <c r="E10" s="222"/>
      <c r="F10" s="223"/>
      <c r="G10" s="224"/>
      <c r="H10" s="221"/>
      <c r="I10" s="221"/>
      <c r="J10" s="225">
        <f>SUM(J12:J12)</f>
        <v>127947.6</v>
      </c>
      <c r="K10" s="225">
        <f>SUM(K12:K12)</f>
        <v>1535371.2000000002</v>
      </c>
      <c r="L10" s="226"/>
      <c r="N10" s="211"/>
    </row>
    <row r="11" spans="2:17" s="210" customFormat="1" x14ac:dyDescent="0.25">
      <c r="B11" s="227"/>
      <c r="C11" s="228"/>
      <c r="D11" s="229" t="s">
        <v>149</v>
      </c>
      <c r="E11" s="230"/>
      <c r="F11" s="231"/>
      <c r="G11" s="232"/>
      <c r="H11" s="233"/>
      <c r="I11" s="233"/>
      <c r="J11" s="234"/>
      <c r="K11" s="234"/>
      <c r="L11" s="235"/>
      <c r="N11" s="211"/>
      <c r="O11" s="236"/>
      <c r="Q11" s="237"/>
    </row>
    <row r="12" spans="2:17" x14ac:dyDescent="0.25">
      <c r="B12" s="238"/>
      <c r="D12" s="239" t="s">
        <v>150</v>
      </c>
      <c r="E12" s="240">
        <v>88</v>
      </c>
      <c r="F12" s="241" t="s">
        <v>151</v>
      </c>
      <c r="G12" s="242">
        <v>1453.95</v>
      </c>
      <c r="H12" s="243">
        <v>1</v>
      </c>
      <c r="J12" s="244">
        <f>+G12*E12*H12</f>
        <v>127947.6</v>
      </c>
      <c r="K12" s="245">
        <f>+J12*12</f>
        <v>1535371.2000000002</v>
      </c>
      <c r="L12" s="246"/>
      <c r="N12" s="199" t="s">
        <v>152</v>
      </c>
      <c r="Q12" s="247"/>
    </row>
    <row r="13" spans="2:17" s="210" customFormat="1" x14ac:dyDescent="0.25">
      <c r="B13" s="227"/>
      <c r="C13" s="228" t="s">
        <v>153</v>
      </c>
      <c r="D13" s="233"/>
      <c r="E13" s="248"/>
      <c r="F13" s="249"/>
      <c r="G13" s="250"/>
      <c r="H13" s="249"/>
      <c r="I13" s="233"/>
      <c r="J13" s="251">
        <f>SUM(J14:J24)</f>
        <v>14780.7</v>
      </c>
      <c r="K13" s="251">
        <f>SUM(K14:K24)</f>
        <v>177368.4</v>
      </c>
      <c r="L13" s="235"/>
      <c r="N13" s="211"/>
      <c r="Q13" s="247"/>
    </row>
    <row r="14" spans="2:17" s="210" customFormat="1" x14ac:dyDescent="0.25">
      <c r="B14" s="227"/>
      <c r="C14" s="228"/>
      <c r="D14" s="229" t="s">
        <v>154</v>
      </c>
      <c r="E14" s="252">
        <f>+[1]Materiales!B4</f>
        <v>41503</v>
      </c>
      <c r="F14" s="253" t="s">
        <v>155</v>
      </c>
      <c r="G14" s="242">
        <v>2.8</v>
      </c>
      <c r="H14" s="243">
        <v>1</v>
      </c>
      <c r="I14" s="254"/>
      <c r="J14" s="255">
        <f t="shared" ref="J14:J24" si="0">+K14/12</f>
        <v>9684.0333333333328</v>
      </c>
      <c r="K14" s="245">
        <f t="shared" ref="K14:K24" si="1">+E14*G14*H14</f>
        <v>116208.4</v>
      </c>
      <c r="L14" s="235"/>
      <c r="N14" s="211" t="s">
        <v>156</v>
      </c>
    </row>
    <row r="15" spans="2:17" s="210" customFormat="1" x14ac:dyDescent="0.25">
      <c r="B15" s="227"/>
      <c r="C15" s="228"/>
      <c r="D15" s="202" t="s">
        <v>157</v>
      </c>
      <c r="E15" s="240">
        <f>$E$12*2</f>
        <v>176</v>
      </c>
      <c r="F15" s="253" t="s">
        <v>48</v>
      </c>
      <c r="G15" s="242">
        <v>90</v>
      </c>
      <c r="H15" s="243">
        <v>1</v>
      </c>
      <c r="I15" s="254"/>
      <c r="J15" s="255">
        <f t="shared" si="0"/>
        <v>1320</v>
      </c>
      <c r="K15" s="245">
        <f t="shared" si="1"/>
        <v>15840</v>
      </c>
      <c r="L15" s="235"/>
      <c r="N15" s="256" t="s">
        <v>158</v>
      </c>
    </row>
    <row r="16" spans="2:17" s="210" customFormat="1" x14ac:dyDescent="0.25">
      <c r="B16" s="227"/>
      <c r="C16" s="228"/>
      <c r="D16" s="202" t="s">
        <v>159</v>
      </c>
      <c r="E16" s="240">
        <f>$E$12*2</f>
        <v>176</v>
      </c>
      <c r="F16" s="253" t="s">
        <v>160</v>
      </c>
      <c r="G16" s="242">
        <v>68</v>
      </c>
      <c r="H16" s="243">
        <v>1</v>
      </c>
      <c r="I16" s="254"/>
      <c r="J16" s="255">
        <f t="shared" si="0"/>
        <v>997.33333333333337</v>
      </c>
      <c r="K16" s="245">
        <f t="shared" si="1"/>
        <v>11968</v>
      </c>
      <c r="L16" s="235"/>
      <c r="N16" s="211">
        <v>161</v>
      </c>
    </row>
    <row r="17" spans="2:16" s="210" customFormat="1" x14ac:dyDescent="0.25">
      <c r="B17" s="227"/>
      <c r="C17" s="228"/>
      <c r="D17" s="202" t="s">
        <v>161</v>
      </c>
      <c r="E17" s="240">
        <f>$E$12*2</f>
        <v>176</v>
      </c>
      <c r="F17" s="253" t="s">
        <v>160</v>
      </c>
      <c r="G17" s="242">
        <v>40</v>
      </c>
      <c r="H17" s="243">
        <v>1</v>
      </c>
      <c r="I17" s="254"/>
      <c r="J17" s="255">
        <f>+K17/12</f>
        <v>586.66666666666663</v>
      </c>
      <c r="K17" s="245">
        <f>+E17*G17*H17</f>
        <v>7040</v>
      </c>
      <c r="L17" s="235"/>
      <c r="N17" s="211">
        <v>161</v>
      </c>
    </row>
    <row r="18" spans="2:16" s="210" customFormat="1" x14ac:dyDescent="0.25">
      <c r="B18" s="227"/>
      <c r="C18" s="228"/>
      <c r="D18" s="202" t="s">
        <v>162</v>
      </c>
      <c r="E18" s="240">
        <f>$E$12*2</f>
        <v>176</v>
      </c>
      <c r="F18" s="253" t="s">
        <v>160</v>
      </c>
      <c r="G18" s="242">
        <v>65</v>
      </c>
      <c r="H18" s="243">
        <v>1</v>
      </c>
      <c r="I18" s="254"/>
      <c r="J18" s="255">
        <f>+K18/12</f>
        <v>953.33333333333337</v>
      </c>
      <c r="K18" s="245">
        <f>+E18*G18*H18</f>
        <v>11440</v>
      </c>
      <c r="L18" s="235"/>
      <c r="N18" s="211">
        <v>161</v>
      </c>
    </row>
    <row r="19" spans="2:16" s="210" customFormat="1" x14ac:dyDescent="0.25">
      <c r="B19" s="227"/>
      <c r="C19" s="228"/>
      <c r="D19" s="202" t="s">
        <v>163</v>
      </c>
      <c r="E19" s="240">
        <f>$E$12*2</f>
        <v>176</v>
      </c>
      <c r="F19" s="253" t="s">
        <v>160</v>
      </c>
      <c r="G19" s="242">
        <v>11</v>
      </c>
      <c r="H19" s="243">
        <v>1</v>
      </c>
      <c r="I19" s="254"/>
      <c r="J19" s="255">
        <f>+K19/12</f>
        <v>161.33333333333334</v>
      </c>
      <c r="K19" s="245">
        <f>+E19*G19*H19</f>
        <v>1936</v>
      </c>
      <c r="L19" s="235"/>
      <c r="N19" s="211">
        <v>161</v>
      </c>
    </row>
    <row r="20" spans="2:16" s="210" customFormat="1" x14ac:dyDescent="0.25">
      <c r="B20" s="227"/>
      <c r="C20" s="228"/>
      <c r="D20" s="202" t="s">
        <v>164</v>
      </c>
      <c r="E20" s="240">
        <f>$E$12</f>
        <v>88</v>
      </c>
      <c r="F20" s="253" t="s">
        <v>160</v>
      </c>
      <c r="G20" s="242">
        <v>15</v>
      </c>
      <c r="H20" s="243">
        <v>1</v>
      </c>
      <c r="I20" s="254"/>
      <c r="J20" s="255">
        <f>+K20/12</f>
        <v>110</v>
      </c>
      <c r="K20" s="245">
        <f>+E20*G20*H20</f>
        <v>1320</v>
      </c>
      <c r="L20" s="235"/>
      <c r="N20" s="211" t="s">
        <v>156</v>
      </c>
    </row>
    <row r="21" spans="2:16" s="210" customFormat="1" x14ac:dyDescent="0.25">
      <c r="B21" s="227"/>
      <c r="C21" s="228"/>
      <c r="D21" s="202" t="s">
        <v>165</v>
      </c>
      <c r="E21" s="240">
        <f>$E$12</f>
        <v>88</v>
      </c>
      <c r="F21" s="253" t="s">
        <v>160</v>
      </c>
      <c r="G21" s="242">
        <v>120</v>
      </c>
      <c r="H21" s="243">
        <v>1</v>
      </c>
      <c r="I21" s="254"/>
      <c r="J21" s="255">
        <f>+K21/12</f>
        <v>880</v>
      </c>
      <c r="K21" s="245">
        <f>+E21*G21*H21</f>
        <v>10560</v>
      </c>
      <c r="L21" s="235"/>
      <c r="N21" s="256" t="s">
        <v>158</v>
      </c>
    </row>
    <row r="22" spans="2:16" s="210" customFormat="1" x14ac:dyDescent="0.25">
      <c r="B22" s="227"/>
      <c r="C22" s="228"/>
      <c r="D22" s="202" t="s">
        <v>166</v>
      </c>
      <c r="E22" s="240">
        <f>$E$12*2</f>
        <v>176</v>
      </c>
      <c r="F22" s="253" t="s">
        <v>160</v>
      </c>
      <c r="G22" s="242">
        <v>2</v>
      </c>
      <c r="H22" s="243">
        <v>1</v>
      </c>
      <c r="I22" s="254"/>
      <c r="J22" s="255">
        <f t="shared" si="0"/>
        <v>29.333333333333332</v>
      </c>
      <c r="K22" s="245">
        <f t="shared" si="1"/>
        <v>352</v>
      </c>
      <c r="L22" s="235"/>
      <c r="N22" s="256" t="s">
        <v>167</v>
      </c>
    </row>
    <row r="23" spans="2:16" x14ac:dyDescent="0.25">
      <c r="B23" s="238"/>
      <c r="D23" s="202" t="s">
        <v>168</v>
      </c>
      <c r="E23" s="240">
        <f>$E$12</f>
        <v>88</v>
      </c>
      <c r="F23" s="253" t="s">
        <v>160</v>
      </c>
      <c r="G23" s="242">
        <v>5</v>
      </c>
      <c r="H23" s="243">
        <v>1</v>
      </c>
      <c r="J23" s="244">
        <f>+K23/12</f>
        <v>36.666666666666664</v>
      </c>
      <c r="K23" s="245">
        <f>+E23*G23*H23</f>
        <v>440</v>
      </c>
      <c r="L23" s="246"/>
      <c r="N23" s="211" t="s">
        <v>156</v>
      </c>
    </row>
    <row r="24" spans="2:16" s="210" customFormat="1" x14ac:dyDescent="0.25">
      <c r="B24" s="227"/>
      <c r="C24" s="228"/>
      <c r="D24" s="202" t="s">
        <v>169</v>
      </c>
      <c r="E24" s="240">
        <f>$E$12*12</f>
        <v>1056</v>
      </c>
      <c r="F24" s="253" t="s">
        <v>160</v>
      </c>
      <c r="G24" s="242">
        <v>0.25</v>
      </c>
      <c r="H24" s="243">
        <v>1</v>
      </c>
      <c r="I24" s="254"/>
      <c r="J24" s="255">
        <f t="shared" si="0"/>
        <v>22</v>
      </c>
      <c r="K24" s="245">
        <f t="shared" si="1"/>
        <v>264</v>
      </c>
      <c r="L24" s="235"/>
      <c r="M24" s="257"/>
      <c r="N24" s="258" t="s">
        <v>170</v>
      </c>
      <c r="P24" s="259"/>
    </row>
    <row r="25" spans="2:16" s="210" customFormat="1" x14ac:dyDescent="0.25">
      <c r="B25" s="227"/>
      <c r="C25" s="228"/>
      <c r="D25" s="228" t="s">
        <v>171</v>
      </c>
      <c r="E25" s="249"/>
      <c r="F25" s="260"/>
      <c r="G25" s="242"/>
      <c r="H25" s="243"/>
      <c r="I25" s="254"/>
      <c r="J25" s="261">
        <f>SUM(J26:J33)</f>
        <v>18978.271666666667</v>
      </c>
      <c r="K25" s="261">
        <f>SUM(K26:K33)</f>
        <v>227739.25999999998</v>
      </c>
      <c r="L25" s="235"/>
      <c r="N25" s="211"/>
    </row>
    <row r="26" spans="2:16" s="210" customFormat="1" x14ac:dyDescent="0.25">
      <c r="B26" s="227"/>
      <c r="C26" s="228"/>
      <c r="D26" s="262" t="s">
        <v>172</v>
      </c>
      <c r="E26" s="263">
        <v>4</v>
      </c>
      <c r="F26" s="264" t="s">
        <v>173</v>
      </c>
      <c r="G26" s="265">
        <v>33016.74</v>
      </c>
      <c r="H26" s="266">
        <v>1</v>
      </c>
      <c r="I26" s="267"/>
      <c r="J26" s="268">
        <f t="shared" ref="J26:J32" si="2">+K26/12</f>
        <v>11005.58</v>
      </c>
      <c r="K26" s="269">
        <f t="shared" ref="K26:K32" si="3">+E26*G26*H26</f>
        <v>132066.96</v>
      </c>
      <c r="L26" s="235"/>
      <c r="N26" s="211" t="s">
        <v>156</v>
      </c>
    </row>
    <row r="27" spans="2:16" s="210" customFormat="1" x14ac:dyDescent="0.25">
      <c r="B27" s="227"/>
      <c r="C27" s="228"/>
      <c r="D27" s="202" t="s">
        <v>174</v>
      </c>
      <c r="E27" s="240">
        <v>834</v>
      </c>
      <c r="F27" s="260" t="s">
        <v>175</v>
      </c>
      <c r="G27" s="242">
        <v>31</v>
      </c>
      <c r="H27" s="243">
        <v>1</v>
      </c>
      <c r="I27" s="254"/>
      <c r="J27" s="255">
        <f t="shared" si="2"/>
        <v>2154.5</v>
      </c>
      <c r="K27" s="245">
        <f t="shared" si="3"/>
        <v>25854</v>
      </c>
      <c r="L27" s="235"/>
      <c r="N27" s="258" t="s">
        <v>176</v>
      </c>
    </row>
    <row r="28" spans="2:16" s="210" customFormat="1" x14ac:dyDescent="0.25">
      <c r="B28" s="227"/>
      <c r="C28" s="228"/>
      <c r="D28" s="202" t="s">
        <v>177</v>
      </c>
      <c r="E28" s="240">
        <v>472</v>
      </c>
      <c r="F28" s="260" t="s">
        <v>175</v>
      </c>
      <c r="G28" s="242">
        <v>32.5</v>
      </c>
      <c r="H28" s="243">
        <v>1</v>
      </c>
      <c r="I28" s="254"/>
      <c r="J28" s="255">
        <f t="shared" si="2"/>
        <v>1278.3333333333333</v>
      </c>
      <c r="K28" s="245">
        <f t="shared" si="3"/>
        <v>15340</v>
      </c>
      <c r="L28" s="235"/>
      <c r="N28" s="256" t="s">
        <v>178</v>
      </c>
    </row>
    <row r="29" spans="2:16" s="210" customFormat="1" x14ac:dyDescent="0.25">
      <c r="B29" s="227"/>
      <c r="C29" s="228"/>
      <c r="D29" s="202" t="s">
        <v>179</v>
      </c>
      <c r="E29" s="240">
        <v>39</v>
      </c>
      <c r="F29" s="260" t="s">
        <v>175</v>
      </c>
      <c r="G29" s="242">
        <v>51.5</v>
      </c>
      <c r="H29" s="243">
        <v>1</v>
      </c>
      <c r="I29" s="254"/>
      <c r="J29" s="255">
        <f t="shared" si="2"/>
        <v>167.375</v>
      </c>
      <c r="K29" s="245">
        <f t="shared" si="3"/>
        <v>2008.5</v>
      </c>
      <c r="L29" s="235"/>
      <c r="N29" s="258" t="s">
        <v>180</v>
      </c>
    </row>
    <row r="30" spans="2:16" s="210" customFormat="1" x14ac:dyDescent="0.25">
      <c r="B30" s="227"/>
      <c r="C30" s="228"/>
      <c r="D30" s="202" t="s">
        <v>181</v>
      </c>
      <c r="E30" s="240">
        <v>150</v>
      </c>
      <c r="F30" s="260" t="s">
        <v>175</v>
      </c>
      <c r="G30" s="242">
        <v>51</v>
      </c>
      <c r="H30" s="243">
        <v>1</v>
      </c>
      <c r="I30" s="254"/>
      <c r="J30" s="255">
        <f t="shared" si="2"/>
        <v>637.5</v>
      </c>
      <c r="K30" s="245">
        <f t="shared" si="3"/>
        <v>7650</v>
      </c>
      <c r="L30" s="235"/>
      <c r="N30" s="258" t="s">
        <v>180</v>
      </c>
    </row>
    <row r="31" spans="2:16" s="210" customFormat="1" x14ac:dyDescent="0.25">
      <c r="B31" s="227"/>
      <c r="C31" s="228"/>
      <c r="D31" s="202" t="s">
        <v>182</v>
      </c>
      <c r="E31" s="240">
        <v>150</v>
      </c>
      <c r="F31" s="260" t="s">
        <v>175</v>
      </c>
      <c r="G31" s="242">
        <v>46</v>
      </c>
      <c r="H31" s="243">
        <v>1</v>
      </c>
      <c r="I31" s="254"/>
      <c r="J31" s="255">
        <f t="shared" si="2"/>
        <v>575</v>
      </c>
      <c r="K31" s="245">
        <f t="shared" si="3"/>
        <v>6900</v>
      </c>
      <c r="L31" s="235"/>
      <c r="N31" s="258" t="s">
        <v>180</v>
      </c>
    </row>
    <row r="32" spans="2:16" s="210" customFormat="1" x14ac:dyDescent="0.25">
      <c r="B32" s="227"/>
      <c r="C32" s="228"/>
      <c r="D32" s="202" t="s">
        <v>183</v>
      </c>
      <c r="E32" s="240">
        <v>673</v>
      </c>
      <c r="F32" s="260" t="s">
        <v>175</v>
      </c>
      <c r="G32" s="242">
        <v>16</v>
      </c>
      <c r="H32" s="243">
        <v>1</v>
      </c>
      <c r="I32" s="254"/>
      <c r="J32" s="255">
        <f t="shared" si="2"/>
        <v>897.33333333333337</v>
      </c>
      <c r="K32" s="245">
        <f t="shared" si="3"/>
        <v>10768</v>
      </c>
      <c r="L32" s="235"/>
      <c r="N32" s="258" t="s">
        <v>176</v>
      </c>
    </row>
    <row r="33" spans="2:16" s="210" customFormat="1" ht="12" thickBot="1" x14ac:dyDescent="0.3">
      <c r="B33" s="227"/>
      <c r="C33" s="228"/>
      <c r="D33" s="262" t="s">
        <v>184</v>
      </c>
      <c r="E33" s="263">
        <v>59</v>
      </c>
      <c r="F33" s="270" t="s">
        <v>160</v>
      </c>
      <c r="G33" s="271">
        <v>460.2</v>
      </c>
      <c r="H33" s="266">
        <v>1</v>
      </c>
      <c r="I33" s="267"/>
      <c r="J33" s="268">
        <f>+K33/12</f>
        <v>2262.65</v>
      </c>
      <c r="K33" s="269">
        <f>+E33*G33*H33</f>
        <v>27151.8</v>
      </c>
      <c r="L33" s="235"/>
      <c r="M33" s="257"/>
      <c r="N33" s="211" t="s">
        <v>156</v>
      </c>
      <c r="O33" s="272"/>
      <c r="P33" s="259"/>
    </row>
    <row r="34" spans="2:16" s="228" customFormat="1" ht="12" thickBot="1" x14ac:dyDescent="0.3">
      <c r="B34" s="212" t="s">
        <v>185</v>
      </c>
      <c r="C34" s="213"/>
      <c r="D34" s="214"/>
      <c r="E34" s="273"/>
      <c r="F34" s="274"/>
      <c r="G34" s="273"/>
      <c r="H34" s="275"/>
      <c r="I34" s="214"/>
      <c r="J34" s="217">
        <f>+J35+J41+J48</f>
        <v>11331.752226666667</v>
      </c>
      <c r="K34" s="217">
        <f>+K35+K41+K48</f>
        <v>135981.02672000002</v>
      </c>
      <c r="L34" s="218">
        <f>K34/K55</f>
        <v>6.5308752779809479E-2</v>
      </c>
      <c r="N34" s="276"/>
    </row>
    <row r="35" spans="2:16" s="210" customFormat="1" x14ac:dyDescent="0.25">
      <c r="B35" s="227"/>
      <c r="C35" s="228" t="s">
        <v>148</v>
      </c>
      <c r="D35" s="233"/>
      <c r="E35" s="248"/>
      <c r="F35" s="249"/>
      <c r="G35" s="250"/>
      <c r="H35" s="249"/>
      <c r="I35" s="233"/>
      <c r="J35" s="234">
        <f>SUM(J37:J40)</f>
        <v>11097.568226666668</v>
      </c>
      <c r="K35" s="234">
        <f>SUM(K37:K40)</f>
        <v>133170.81872000001</v>
      </c>
      <c r="L35" s="235"/>
      <c r="N35" s="211"/>
    </row>
    <row r="36" spans="2:16" x14ac:dyDescent="0.25">
      <c r="B36" s="238"/>
      <c r="D36" s="198" t="s">
        <v>186</v>
      </c>
      <c r="E36" s="277"/>
      <c r="F36" s="241"/>
      <c r="G36" s="242"/>
      <c r="H36" s="278"/>
      <c r="J36" s="279"/>
      <c r="K36" s="279"/>
      <c r="L36" s="246"/>
    </row>
    <row r="37" spans="2:16" x14ac:dyDescent="0.25">
      <c r="B37" s="238"/>
      <c r="D37" s="239" t="s">
        <v>187</v>
      </c>
      <c r="E37" s="240">
        <v>1</v>
      </c>
      <c r="F37" s="241" t="s">
        <v>151</v>
      </c>
      <c r="G37" s="280">
        <v>5254.8911333333335</v>
      </c>
      <c r="H37" s="243">
        <v>0.2</v>
      </c>
      <c r="J37" s="244">
        <f>+G37*E37*H37</f>
        <v>1050.9782266666668</v>
      </c>
      <c r="K37" s="245">
        <f>+J37*12</f>
        <v>12611.738720000001</v>
      </c>
      <c r="L37" s="246"/>
      <c r="N37" s="199" t="s">
        <v>152</v>
      </c>
    </row>
    <row r="38" spans="2:16" s="210" customFormat="1" x14ac:dyDescent="0.25">
      <c r="B38" s="227"/>
      <c r="C38" s="228"/>
      <c r="D38" s="229" t="s">
        <v>149</v>
      </c>
      <c r="E38" s="281"/>
      <c r="F38" s="282"/>
      <c r="G38" s="250"/>
      <c r="H38" s="249"/>
      <c r="I38" s="233"/>
      <c r="J38" s="234"/>
      <c r="K38" s="234"/>
      <c r="L38" s="235"/>
      <c r="N38" s="211"/>
    </row>
    <row r="39" spans="2:16" x14ac:dyDescent="0.25">
      <c r="B39" s="238"/>
      <c r="D39" s="239" t="s">
        <v>188</v>
      </c>
      <c r="E39" s="240">
        <v>1</v>
      </c>
      <c r="F39" s="241" t="s">
        <v>151</v>
      </c>
      <c r="G39" s="280">
        <v>3153.9500000000003</v>
      </c>
      <c r="H39" s="243">
        <v>0.2</v>
      </c>
      <c r="J39" s="244">
        <f>+G39*E39*H39</f>
        <v>630.79000000000008</v>
      </c>
      <c r="K39" s="245">
        <f>+J39*12</f>
        <v>7569.4800000000014</v>
      </c>
      <c r="L39" s="246"/>
      <c r="N39" s="199" t="s">
        <v>152</v>
      </c>
    </row>
    <row r="40" spans="2:16" x14ac:dyDescent="0.25">
      <c r="B40" s="238"/>
      <c r="D40" s="239" t="s">
        <v>189</v>
      </c>
      <c r="E40" s="240">
        <v>4</v>
      </c>
      <c r="F40" s="241" t="s">
        <v>151</v>
      </c>
      <c r="G40" s="280">
        <v>2353.9500000000003</v>
      </c>
      <c r="H40" s="243">
        <v>1</v>
      </c>
      <c r="J40" s="244">
        <f>+G40*E40*H40</f>
        <v>9415.8000000000011</v>
      </c>
      <c r="K40" s="245">
        <f>+J40*12</f>
        <v>112989.6</v>
      </c>
      <c r="L40" s="246"/>
      <c r="N40" s="199" t="s">
        <v>152</v>
      </c>
    </row>
    <row r="41" spans="2:16" x14ac:dyDescent="0.25">
      <c r="B41" s="238"/>
      <c r="C41" s="228" t="s">
        <v>190</v>
      </c>
      <c r="E41" s="240"/>
      <c r="F41" s="241"/>
      <c r="G41" s="242"/>
      <c r="H41" s="243"/>
      <c r="J41" s="279">
        <f>SUM(J42:J47)</f>
        <v>171.00000000000003</v>
      </c>
      <c r="K41" s="279">
        <f>SUM(K42:K47)</f>
        <v>2052</v>
      </c>
      <c r="L41" s="246"/>
    </row>
    <row r="42" spans="2:16" s="210" customFormat="1" x14ac:dyDescent="0.25">
      <c r="B42" s="227"/>
      <c r="C42" s="228"/>
      <c r="D42" s="202" t="s">
        <v>157</v>
      </c>
      <c r="E42" s="240">
        <f>+E40</f>
        <v>4</v>
      </c>
      <c r="F42" s="253" t="s">
        <v>48</v>
      </c>
      <c r="G42" s="242">
        <v>90</v>
      </c>
      <c r="H42" s="243">
        <v>1</v>
      </c>
      <c r="I42" s="254"/>
      <c r="J42" s="255">
        <f t="shared" ref="J42:J47" si="4">+K42/12</f>
        <v>30</v>
      </c>
      <c r="K42" s="245">
        <f t="shared" ref="K42:K47" si="5">+E42*G42*H42</f>
        <v>360</v>
      </c>
      <c r="L42" s="235"/>
      <c r="N42" s="256" t="s">
        <v>158</v>
      </c>
    </row>
    <row r="43" spans="2:16" s="210" customFormat="1" x14ac:dyDescent="0.25">
      <c r="B43" s="227"/>
      <c r="C43" s="228"/>
      <c r="D43" s="202" t="s">
        <v>159</v>
      </c>
      <c r="E43" s="240">
        <f>$E$40*2</f>
        <v>8</v>
      </c>
      <c r="F43" s="253" t="s">
        <v>160</v>
      </c>
      <c r="G43" s="242">
        <v>68</v>
      </c>
      <c r="H43" s="243">
        <v>1</v>
      </c>
      <c r="I43" s="254"/>
      <c r="J43" s="255">
        <f t="shared" si="4"/>
        <v>45.333333333333336</v>
      </c>
      <c r="K43" s="245">
        <f t="shared" si="5"/>
        <v>544</v>
      </c>
      <c r="L43" s="235"/>
      <c r="N43" s="211">
        <v>161</v>
      </c>
    </row>
    <row r="44" spans="2:16" s="210" customFormat="1" x14ac:dyDescent="0.25">
      <c r="B44" s="227"/>
      <c r="C44" s="228"/>
      <c r="D44" s="202" t="s">
        <v>161</v>
      </c>
      <c r="E44" s="240">
        <f>$E$40*2</f>
        <v>8</v>
      </c>
      <c r="F44" s="253" t="s">
        <v>160</v>
      </c>
      <c r="G44" s="242">
        <v>40</v>
      </c>
      <c r="H44" s="243">
        <v>1</v>
      </c>
      <c r="I44" s="254"/>
      <c r="J44" s="255">
        <f t="shared" si="4"/>
        <v>26.666666666666668</v>
      </c>
      <c r="K44" s="245">
        <f t="shared" si="5"/>
        <v>320</v>
      </c>
      <c r="L44" s="235"/>
      <c r="N44" s="211">
        <v>161</v>
      </c>
    </row>
    <row r="45" spans="2:16" s="210" customFormat="1" x14ac:dyDescent="0.25">
      <c r="B45" s="227"/>
      <c r="C45" s="228"/>
      <c r="D45" s="202" t="s">
        <v>162</v>
      </c>
      <c r="E45" s="240">
        <f>+E40</f>
        <v>4</v>
      </c>
      <c r="F45" s="253" t="s">
        <v>160</v>
      </c>
      <c r="G45" s="242">
        <v>65</v>
      </c>
      <c r="H45" s="243">
        <v>1</v>
      </c>
      <c r="I45" s="254"/>
      <c r="J45" s="255">
        <f t="shared" si="4"/>
        <v>21.666666666666668</v>
      </c>
      <c r="K45" s="245">
        <f t="shared" si="5"/>
        <v>260</v>
      </c>
      <c r="L45" s="235"/>
      <c r="N45" s="211">
        <v>161</v>
      </c>
    </row>
    <row r="46" spans="2:16" s="210" customFormat="1" x14ac:dyDescent="0.25">
      <c r="B46" s="227"/>
      <c r="C46" s="228"/>
      <c r="D46" s="202" t="s">
        <v>163</v>
      </c>
      <c r="E46" s="240">
        <f>$E$40*2</f>
        <v>8</v>
      </c>
      <c r="F46" s="253" t="s">
        <v>160</v>
      </c>
      <c r="G46" s="242">
        <v>11</v>
      </c>
      <c r="H46" s="243">
        <v>1</v>
      </c>
      <c r="I46" s="254"/>
      <c r="J46" s="255">
        <f t="shared" si="4"/>
        <v>7.333333333333333</v>
      </c>
      <c r="K46" s="245">
        <f t="shared" si="5"/>
        <v>88</v>
      </c>
      <c r="L46" s="235"/>
      <c r="N46" s="211">
        <v>161</v>
      </c>
    </row>
    <row r="47" spans="2:16" s="210" customFormat="1" x14ac:dyDescent="0.25">
      <c r="B47" s="227"/>
      <c r="C47" s="228"/>
      <c r="D47" s="202" t="s">
        <v>165</v>
      </c>
      <c r="E47" s="240">
        <f>$E$40</f>
        <v>4</v>
      </c>
      <c r="F47" s="253" t="s">
        <v>160</v>
      </c>
      <c r="G47" s="242">
        <v>120</v>
      </c>
      <c r="H47" s="243">
        <v>1</v>
      </c>
      <c r="I47" s="254"/>
      <c r="J47" s="255">
        <f t="shared" si="4"/>
        <v>40</v>
      </c>
      <c r="K47" s="245">
        <f t="shared" si="5"/>
        <v>480</v>
      </c>
      <c r="L47" s="235"/>
      <c r="N47" s="256" t="s">
        <v>158</v>
      </c>
    </row>
    <row r="48" spans="2:16" s="210" customFormat="1" x14ac:dyDescent="0.25">
      <c r="B48" s="227"/>
      <c r="C48" s="228" t="s">
        <v>191</v>
      </c>
      <c r="D48" s="202"/>
      <c r="E48" s="240"/>
      <c r="F48" s="253"/>
      <c r="G48" s="242"/>
      <c r="H48" s="243"/>
      <c r="I48" s="254"/>
      <c r="J48" s="261">
        <f>SUM(J49:J50)</f>
        <v>63.183999999999997</v>
      </c>
      <c r="K48" s="261">
        <f>SUM(K49:K50)</f>
        <v>758.20799999999997</v>
      </c>
      <c r="L48" s="235"/>
      <c r="N48" s="256"/>
    </row>
    <row r="49" spans="2:14" s="210" customFormat="1" x14ac:dyDescent="0.25">
      <c r="B49" s="227"/>
      <c r="C49" s="228"/>
      <c r="D49" s="198" t="s">
        <v>192</v>
      </c>
      <c r="E49" s="283">
        <v>2</v>
      </c>
      <c r="F49" s="241" t="s">
        <v>193</v>
      </c>
      <c r="G49" s="284">
        <v>14.36</v>
      </c>
      <c r="H49" s="243">
        <v>0.2</v>
      </c>
      <c r="I49" s="198"/>
      <c r="J49" s="285">
        <f>+E49*G49*H49</f>
        <v>5.7439999999999998</v>
      </c>
      <c r="K49" s="286">
        <f>+J49*12</f>
        <v>68.927999999999997</v>
      </c>
      <c r="L49" s="235"/>
      <c r="N49" s="256"/>
    </row>
    <row r="50" spans="2:14" s="210" customFormat="1" ht="12" thickBot="1" x14ac:dyDescent="0.3">
      <c r="B50" s="227"/>
      <c r="C50" s="228"/>
      <c r="D50" s="198" t="s">
        <v>194</v>
      </c>
      <c r="E50" s="283">
        <v>4</v>
      </c>
      <c r="F50" s="241" t="s">
        <v>193</v>
      </c>
      <c r="G50" s="284">
        <v>14.36</v>
      </c>
      <c r="H50" s="243">
        <v>1</v>
      </c>
      <c r="I50" s="198"/>
      <c r="J50" s="285">
        <f>+E50*G50*H50</f>
        <v>57.44</v>
      </c>
      <c r="K50" s="286">
        <f>+J50*12</f>
        <v>689.28</v>
      </c>
      <c r="L50" s="235"/>
      <c r="N50" s="256"/>
    </row>
    <row r="51" spans="2:14" s="228" customFormat="1" ht="12" thickBot="1" x14ac:dyDescent="0.3">
      <c r="B51" s="212" t="s">
        <v>195</v>
      </c>
      <c r="C51" s="213"/>
      <c r="D51" s="214"/>
      <c r="E51" s="273"/>
      <c r="F51" s="274"/>
      <c r="G51" s="273"/>
      <c r="H51" s="275"/>
      <c r="I51" s="214"/>
      <c r="J51" s="217">
        <f>SUM(J52:J53)</f>
        <v>472.14381572727262</v>
      </c>
      <c r="K51" s="287">
        <f>SUM(K52:K53)</f>
        <v>5665.7257887272708</v>
      </c>
      <c r="L51" s="288">
        <f>K51/K55</f>
        <v>2.7211258348276454E-3</v>
      </c>
      <c r="N51" s="276"/>
    </row>
    <row r="52" spans="2:14" x14ac:dyDescent="0.25">
      <c r="B52" s="238"/>
      <c r="D52" s="198" t="s">
        <v>196</v>
      </c>
      <c r="E52" s="283">
        <v>1</v>
      </c>
      <c r="F52" s="241" t="s">
        <v>197</v>
      </c>
      <c r="G52" s="284">
        <v>1104.199090909091</v>
      </c>
      <c r="H52" s="289">
        <v>9.6699999999999994E-2</v>
      </c>
      <c r="J52" s="285">
        <f>+E52*G52*H52</f>
        <v>106.77605209090909</v>
      </c>
      <c r="K52" s="286">
        <f>+J52*12</f>
        <v>1281.312625090909</v>
      </c>
      <c r="L52" s="246"/>
      <c r="N52" s="199" t="s">
        <v>198</v>
      </c>
    </row>
    <row r="53" spans="2:14" ht="12" thickBot="1" x14ac:dyDescent="0.3">
      <c r="B53" s="290"/>
      <c r="C53" s="291"/>
      <c r="D53" s="291" t="s">
        <v>199</v>
      </c>
      <c r="E53" s="292">
        <v>1</v>
      </c>
      <c r="F53" s="293" t="s">
        <v>197</v>
      </c>
      <c r="G53" s="294">
        <v>3778.3636363636356</v>
      </c>
      <c r="H53" s="295">
        <v>9.6699999999999994E-2</v>
      </c>
      <c r="I53" s="291"/>
      <c r="J53" s="296">
        <f>+E53*G53*H53</f>
        <v>365.36776363636352</v>
      </c>
      <c r="K53" s="297">
        <f>+J53*12</f>
        <v>4384.4131636363618</v>
      </c>
      <c r="L53" s="298"/>
      <c r="N53" s="199" t="s">
        <v>198</v>
      </c>
    </row>
    <row r="54" spans="2:14" ht="12" thickBot="1" x14ac:dyDescent="0.3">
      <c r="J54" s="299"/>
      <c r="K54" s="299"/>
      <c r="L54" s="247"/>
    </row>
    <row r="55" spans="2:14" ht="12" thickBot="1" x14ac:dyDescent="0.3">
      <c r="B55" s="300" t="s">
        <v>200</v>
      </c>
      <c r="C55" s="301"/>
      <c r="D55" s="301"/>
      <c r="E55" s="302"/>
      <c r="F55" s="303"/>
      <c r="G55" s="302"/>
      <c r="H55" s="304"/>
      <c r="I55" s="304"/>
      <c r="J55" s="305">
        <f>J9+J34+J51</f>
        <v>173510.46770906061</v>
      </c>
      <c r="K55" s="305">
        <f>TRUNC((K9+K34+K51),2)</f>
        <v>2082125.61</v>
      </c>
      <c r="L55" s="306">
        <f>L9+L34+L51</f>
        <v>1.0000000012048877</v>
      </c>
    </row>
    <row r="56" spans="2:14" x14ac:dyDescent="0.25">
      <c r="F56" s="307"/>
      <c r="H56" s="201"/>
      <c r="J56" s="308"/>
      <c r="K56" s="309"/>
    </row>
    <row r="57" spans="2:14" x14ac:dyDescent="0.25">
      <c r="C57" s="228"/>
      <c r="E57" s="310"/>
      <c r="F57" s="310"/>
      <c r="H57" s="311"/>
      <c r="I57" s="201"/>
    </row>
    <row r="58" spans="2:14" x14ac:dyDescent="0.25">
      <c r="H58" s="311"/>
      <c r="I58" s="201"/>
    </row>
    <row r="64" spans="2:14" x14ac:dyDescent="0.25">
      <c r="D64" s="312"/>
      <c r="E64" s="313"/>
      <c r="G64" s="313"/>
      <c r="H64" s="312"/>
      <c r="I64" s="312"/>
      <c r="J64" s="313"/>
    </row>
  </sheetData>
  <mergeCells count="6">
    <mergeCell ref="C2:L2"/>
    <mergeCell ref="C3:L3"/>
    <mergeCell ref="C4:L4"/>
    <mergeCell ref="B6:L6"/>
    <mergeCell ref="B8:D8"/>
    <mergeCell ref="B55:D5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G58"/>
  <sheetViews>
    <sheetView workbookViewId="0">
      <selection activeCell="F23" sqref="F23"/>
    </sheetView>
  </sheetViews>
  <sheetFormatPr baseColWidth="10" defaultRowHeight="12.75" x14ac:dyDescent="0.2"/>
  <cols>
    <col min="1" max="1" width="22.28515625" style="151" customWidth="1"/>
    <col min="2" max="2" width="20.42578125" style="151" customWidth="1"/>
    <col min="3" max="3" width="20.85546875" style="151" customWidth="1"/>
    <col min="4" max="4" width="18" style="151" customWidth="1"/>
    <col min="5" max="16384" width="11.42578125" style="151"/>
  </cols>
  <sheetData>
    <row r="2" spans="1:5" x14ac:dyDescent="0.2">
      <c r="A2" s="150" t="s">
        <v>42</v>
      </c>
      <c r="B2" s="150"/>
      <c r="C2" s="150"/>
      <c r="D2" s="150"/>
    </row>
    <row r="3" spans="1:5" x14ac:dyDescent="0.2">
      <c r="A3" s="150" t="s">
        <v>52</v>
      </c>
      <c r="B3" s="150"/>
      <c r="C3" s="150"/>
      <c r="D3" s="150"/>
    </row>
    <row r="4" spans="1:5" x14ac:dyDescent="0.2">
      <c r="A4" s="150" t="s">
        <v>53</v>
      </c>
      <c r="B4" s="150"/>
      <c r="C4" s="150"/>
      <c r="D4" s="150"/>
    </row>
    <row r="5" spans="1:5" x14ac:dyDescent="0.2">
      <c r="A5" s="152"/>
      <c r="B5" s="152"/>
    </row>
    <row r="6" spans="1:5" x14ac:dyDescent="0.2">
      <c r="A6" s="153" t="s">
        <v>54</v>
      </c>
      <c r="B6" s="153"/>
      <c r="C6" s="153"/>
      <c r="D6" s="153"/>
    </row>
    <row r="7" spans="1:5" x14ac:dyDescent="0.2">
      <c r="A7" s="154"/>
      <c r="B7" s="154"/>
      <c r="C7" s="154"/>
      <c r="D7" s="154"/>
    </row>
    <row r="8" spans="1:5" ht="13.5" x14ac:dyDescent="0.2">
      <c r="A8" s="155"/>
      <c r="B8" s="155"/>
      <c r="C8" s="155"/>
      <c r="D8" s="155"/>
    </row>
    <row r="9" spans="1:5" ht="13.5" x14ac:dyDescent="0.2">
      <c r="A9" s="152" t="s">
        <v>55</v>
      </c>
      <c r="B9" s="152" t="s">
        <v>56</v>
      </c>
      <c r="C9" s="155"/>
      <c r="D9" s="155"/>
    </row>
    <row r="10" spans="1:5" ht="13.5" x14ac:dyDescent="0.2">
      <c r="A10" s="152" t="s">
        <v>57</v>
      </c>
      <c r="B10" s="152" t="s">
        <v>58</v>
      </c>
      <c r="C10" s="155"/>
      <c r="D10" s="155"/>
    </row>
    <row r="11" spans="1:5" ht="13.5" x14ac:dyDescent="0.2">
      <c r="A11" s="152" t="s">
        <v>59</v>
      </c>
      <c r="B11" s="152" t="s">
        <v>60</v>
      </c>
      <c r="C11" s="155"/>
      <c r="D11" s="155"/>
    </row>
    <row r="12" spans="1:5" ht="13.5" x14ac:dyDescent="0.2">
      <c r="A12" s="155"/>
      <c r="B12" s="155"/>
      <c r="C12" s="155"/>
      <c r="D12" s="155"/>
      <c r="E12" s="156"/>
    </row>
    <row r="13" spans="1:5" x14ac:dyDescent="0.2">
      <c r="A13" s="157" t="s">
        <v>61</v>
      </c>
      <c r="B13" s="157" t="s">
        <v>62</v>
      </c>
      <c r="C13" s="157" t="s">
        <v>63</v>
      </c>
      <c r="D13" s="157" t="s">
        <v>64</v>
      </c>
      <c r="E13" s="156"/>
    </row>
    <row r="14" spans="1:5" x14ac:dyDescent="0.2">
      <c r="A14" s="158" t="s">
        <v>65</v>
      </c>
      <c r="B14" s="159" t="s">
        <v>66</v>
      </c>
      <c r="C14" s="159" t="s">
        <v>67</v>
      </c>
      <c r="D14" s="160" t="s">
        <v>68</v>
      </c>
      <c r="E14" s="156"/>
    </row>
    <row r="15" spans="1:5" x14ac:dyDescent="0.2">
      <c r="A15" s="161" t="s">
        <v>69</v>
      </c>
      <c r="B15" s="162" t="s">
        <v>70</v>
      </c>
      <c r="C15" s="162" t="s">
        <v>71</v>
      </c>
      <c r="D15" s="163" t="s">
        <v>72</v>
      </c>
      <c r="E15" s="156"/>
    </row>
    <row r="16" spans="1:5" x14ac:dyDescent="0.2">
      <c r="A16" s="164">
        <v>707</v>
      </c>
      <c r="B16" s="165">
        <v>14</v>
      </c>
      <c r="C16" s="165">
        <v>2</v>
      </c>
      <c r="D16" s="166">
        <f>+A16*B16*C16</f>
        <v>19796</v>
      </c>
      <c r="E16" s="156"/>
    </row>
    <row r="17" spans="1:5" x14ac:dyDescent="0.2">
      <c r="A17" s="167"/>
      <c r="B17" s="167"/>
      <c r="C17" s="167"/>
      <c r="D17" s="167"/>
      <c r="E17" s="156"/>
    </row>
    <row r="18" spans="1:5" x14ac:dyDescent="0.2">
      <c r="A18" s="167"/>
      <c r="B18" s="157" t="s">
        <v>73</v>
      </c>
      <c r="C18" s="157" t="s">
        <v>74</v>
      </c>
      <c r="D18" s="157" t="s">
        <v>75</v>
      </c>
      <c r="E18" s="156"/>
    </row>
    <row r="19" spans="1:5" x14ac:dyDescent="0.2">
      <c r="A19" s="158" t="s">
        <v>76</v>
      </c>
      <c r="B19" s="158" t="s">
        <v>68</v>
      </c>
      <c r="C19" s="159" t="s">
        <v>77</v>
      </c>
      <c r="D19" s="160" t="s">
        <v>78</v>
      </c>
      <c r="E19" s="156"/>
    </row>
    <row r="20" spans="1:5" x14ac:dyDescent="0.2">
      <c r="A20" s="161"/>
      <c r="B20" s="161" t="s">
        <v>72</v>
      </c>
      <c r="C20" s="162" t="s">
        <v>79</v>
      </c>
      <c r="D20" s="163" t="s">
        <v>80</v>
      </c>
      <c r="E20" s="156"/>
    </row>
    <row r="21" spans="1:5" x14ac:dyDescent="0.2">
      <c r="A21" s="165" t="s">
        <v>81</v>
      </c>
      <c r="B21" s="166">
        <f>+D16</f>
        <v>19796</v>
      </c>
      <c r="C21" s="168">
        <v>0.497</v>
      </c>
      <c r="D21" s="166">
        <f>TRUNC(B21*C21,0)</f>
        <v>9838</v>
      </c>
      <c r="E21" s="156"/>
    </row>
    <row r="22" spans="1:5" x14ac:dyDescent="0.2">
      <c r="A22" s="169" t="s">
        <v>82</v>
      </c>
      <c r="B22" s="170">
        <f>+D16</f>
        <v>19796</v>
      </c>
      <c r="C22" s="171">
        <v>0.505</v>
      </c>
      <c r="D22" s="166">
        <f t="shared" ref="D22:D27" si="0">TRUNC(B22*C22,0)</f>
        <v>9996</v>
      </c>
      <c r="E22" s="156"/>
    </row>
    <row r="23" spans="1:5" x14ac:dyDescent="0.2">
      <c r="A23" s="169" t="s">
        <v>83</v>
      </c>
      <c r="B23" s="170">
        <f>+D16</f>
        <v>19796</v>
      </c>
      <c r="C23" s="171">
        <v>0.50600000000000001</v>
      </c>
      <c r="D23" s="166">
        <f t="shared" si="0"/>
        <v>10016</v>
      </c>
      <c r="E23" s="156"/>
    </row>
    <row r="24" spans="1:5" x14ac:dyDescent="0.2">
      <c r="A24" s="169" t="s">
        <v>84</v>
      </c>
      <c r="B24" s="170">
        <f>+D16</f>
        <v>19796</v>
      </c>
      <c r="C24" s="171">
        <v>0.56399999999999995</v>
      </c>
      <c r="D24" s="166">
        <f t="shared" si="0"/>
        <v>11164</v>
      </c>
      <c r="E24" s="156"/>
    </row>
    <row r="25" spans="1:5" x14ac:dyDescent="0.2">
      <c r="A25" s="169" t="s">
        <v>85</v>
      </c>
      <c r="B25" s="170">
        <f>+D16</f>
        <v>19796</v>
      </c>
      <c r="C25" s="171">
        <v>0.65100000000000002</v>
      </c>
      <c r="D25" s="166">
        <f t="shared" si="0"/>
        <v>12887</v>
      </c>
      <c r="E25" s="156"/>
    </row>
    <row r="26" spans="1:5" x14ac:dyDescent="0.2">
      <c r="A26" s="169" t="s">
        <v>86</v>
      </c>
      <c r="B26" s="170">
        <f>+D16</f>
        <v>19796</v>
      </c>
      <c r="C26" s="171">
        <v>0.76</v>
      </c>
      <c r="D26" s="166">
        <f t="shared" si="0"/>
        <v>15044</v>
      </c>
      <c r="E26" s="156"/>
    </row>
    <row r="27" spans="1:5" x14ac:dyDescent="0.2">
      <c r="A27" s="169" t="s">
        <v>87</v>
      </c>
      <c r="B27" s="170">
        <f>D16</f>
        <v>19796</v>
      </c>
      <c r="C27" s="171">
        <v>0.54900000000000004</v>
      </c>
      <c r="D27" s="166">
        <f t="shared" si="0"/>
        <v>10868</v>
      </c>
      <c r="E27" s="156"/>
    </row>
    <row r="28" spans="1:5" x14ac:dyDescent="0.2">
      <c r="A28" s="167"/>
      <c r="B28" s="167"/>
      <c r="C28" s="172" t="s">
        <v>88</v>
      </c>
      <c r="D28" s="173" t="s">
        <v>89</v>
      </c>
      <c r="E28" s="156"/>
    </row>
    <row r="29" spans="1:5" x14ac:dyDescent="0.2">
      <c r="A29" s="167"/>
      <c r="B29" s="167"/>
      <c r="C29" s="174" t="s">
        <v>90</v>
      </c>
      <c r="D29" s="175" t="s">
        <v>91</v>
      </c>
      <c r="E29" s="156"/>
    </row>
    <row r="30" spans="1:5" x14ac:dyDescent="0.2">
      <c r="A30" s="167"/>
      <c r="B30" s="167"/>
      <c r="C30" s="174"/>
      <c r="D30" s="175" t="s">
        <v>92</v>
      </c>
      <c r="E30" s="156"/>
    </row>
    <row r="31" spans="1:5" x14ac:dyDescent="0.2">
      <c r="A31" s="167"/>
      <c r="B31" s="167"/>
      <c r="C31" s="174"/>
      <c r="D31" s="175" t="s">
        <v>93</v>
      </c>
      <c r="E31" s="156"/>
    </row>
    <row r="32" spans="1:5" x14ac:dyDescent="0.2">
      <c r="A32" s="167"/>
      <c r="B32" s="167"/>
      <c r="C32" s="176"/>
      <c r="D32" s="177" t="s">
        <v>94</v>
      </c>
      <c r="E32" s="156"/>
    </row>
    <row r="33" spans="1:7" x14ac:dyDescent="0.2">
      <c r="A33" s="167"/>
      <c r="B33" s="167"/>
      <c r="C33" s="178">
        <f>+AVERAGE(C21:C27)</f>
        <v>0.57599999999999996</v>
      </c>
      <c r="D33" s="170">
        <f>SUM(D21:D27)</f>
        <v>79813</v>
      </c>
      <c r="E33" s="156"/>
    </row>
    <row r="34" spans="1:7" x14ac:dyDescent="0.2">
      <c r="A34" s="167"/>
      <c r="B34" s="167"/>
      <c r="C34" s="167"/>
      <c r="D34" s="167"/>
      <c r="E34" s="156"/>
    </row>
    <row r="35" spans="1:7" x14ac:dyDescent="0.2">
      <c r="A35" s="157" t="s">
        <v>95</v>
      </c>
      <c r="B35" s="157" t="s">
        <v>96</v>
      </c>
      <c r="C35" s="157" t="s">
        <v>97</v>
      </c>
      <c r="D35" s="157" t="s">
        <v>98</v>
      </c>
      <c r="E35" s="156"/>
    </row>
    <row r="36" spans="1:7" x14ac:dyDescent="0.2">
      <c r="A36" s="158" t="s">
        <v>68</v>
      </c>
      <c r="B36" s="158" t="s">
        <v>99</v>
      </c>
      <c r="C36" s="159" t="s">
        <v>68</v>
      </c>
      <c r="D36" s="160" t="s">
        <v>100</v>
      </c>
      <c r="E36" s="156"/>
    </row>
    <row r="37" spans="1:7" x14ac:dyDescent="0.2">
      <c r="A37" s="179" t="s">
        <v>101</v>
      </c>
      <c r="B37" s="179" t="s">
        <v>102</v>
      </c>
      <c r="C37" s="180" t="s">
        <v>103</v>
      </c>
      <c r="D37" s="181" t="s">
        <v>104</v>
      </c>
      <c r="E37" s="156"/>
    </row>
    <row r="38" spans="1:7" x14ac:dyDescent="0.2">
      <c r="A38" s="161" t="s">
        <v>105</v>
      </c>
      <c r="B38" s="161"/>
      <c r="C38" s="162" t="s">
        <v>106</v>
      </c>
      <c r="D38" s="163" t="s">
        <v>107</v>
      </c>
      <c r="E38" s="156"/>
      <c r="F38" s="182"/>
      <c r="G38" s="182"/>
    </row>
    <row r="39" spans="1:7" x14ac:dyDescent="0.2">
      <c r="A39" s="183">
        <f>D33</f>
        <v>79813</v>
      </c>
      <c r="B39" s="169">
        <v>52</v>
      </c>
      <c r="C39" s="184">
        <f>+A39*B39</f>
        <v>4150276</v>
      </c>
      <c r="D39" s="185">
        <f>+'[1]Estructura de Costos SEV'!K55</f>
        <v>2082125.61</v>
      </c>
      <c r="E39" s="156"/>
      <c r="F39" s="186"/>
      <c r="G39" s="187"/>
    </row>
    <row r="40" spans="1:7" x14ac:dyDescent="0.2">
      <c r="A40" s="188"/>
      <c r="B40" s="189"/>
      <c r="C40" s="188"/>
      <c r="D40" s="186"/>
      <c r="E40" s="156"/>
    </row>
    <row r="41" spans="1:7" x14ac:dyDescent="0.2">
      <c r="A41" s="157" t="s">
        <v>108</v>
      </c>
      <c r="B41" s="157" t="s">
        <v>109</v>
      </c>
      <c r="C41" s="157" t="s">
        <v>110</v>
      </c>
      <c r="D41" s="157" t="s">
        <v>111</v>
      </c>
      <c r="E41" s="156"/>
    </row>
    <row r="42" spans="1:7" x14ac:dyDescent="0.2">
      <c r="A42" s="158" t="s">
        <v>112</v>
      </c>
      <c r="B42" s="158" t="s">
        <v>113</v>
      </c>
      <c r="C42" s="159" t="s">
        <v>68</v>
      </c>
      <c r="D42" s="160" t="s">
        <v>114</v>
      </c>
      <c r="E42" s="156"/>
    </row>
    <row r="43" spans="1:7" x14ac:dyDescent="0.2">
      <c r="A43" s="179" t="s">
        <v>115</v>
      </c>
      <c r="B43" s="179" t="s">
        <v>116</v>
      </c>
      <c r="C43" s="180" t="s">
        <v>103</v>
      </c>
      <c r="D43" s="181" t="s">
        <v>117</v>
      </c>
      <c r="E43" s="156"/>
    </row>
    <row r="44" spans="1:7" x14ac:dyDescent="0.2">
      <c r="A44" s="161"/>
      <c r="B44" s="161"/>
      <c r="C44" s="162" t="s">
        <v>118</v>
      </c>
      <c r="D44" s="163"/>
      <c r="E44" s="156"/>
    </row>
    <row r="45" spans="1:7" x14ac:dyDescent="0.2">
      <c r="A45" s="190">
        <f>D39/C39</f>
        <v>0.50168364947295074</v>
      </c>
      <c r="B45" s="185">
        <v>0.5</v>
      </c>
      <c r="C45" s="184">
        <f>+C39</f>
        <v>4150276</v>
      </c>
      <c r="D45" s="185">
        <f>+B45*C45</f>
        <v>2075138</v>
      </c>
      <c r="E45" s="156"/>
      <c r="F45" s="191"/>
    </row>
    <row r="46" spans="1:7" x14ac:dyDescent="0.2">
      <c r="A46" s="192"/>
      <c r="B46" s="186"/>
      <c r="C46" s="188"/>
      <c r="D46" s="186"/>
      <c r="E46" s="156"/>
    </row>
    <row r="47" spans="1:7" x14ac:dyDescent="0.2">
      <c r="A47" s="157" t="s">
        <v>119</v>
      </c>
      <c r="B47" s="157" t="s">
        <v>98</v>
      </c>
      <c r="C47" s="193" t="s">
        <v>120</v>
      </c>
      <c r="D47" s="157" t="s">
        <v>121</v>
      </c>
      <c r="E47" s="156"/>
    </row>
    <row r="48" spans="1:7" x14ac:dyDescent="0.2">
      <c r="A48" s="158" t="s">
        <v>122</v>
      </c>
      <c r="B48" s="158" t="s">
        <v>123</v>
      </c>
      <c r="C48" s="159" t="s">
        <v>124</v>
      </c>
      <c r="D48" s="160" t="s">
        <v>125</v>
      </c>
      <c r="E48" s="156"/>
    </row>
    <row r="49" spans="1:5" x14ac:dyDescent="0.2">
      <c r="A49" s="179" t="s">
        <v>126</v>
      </c>
      <c r="B49" s="161" t="s">
        <v>127</v>
      </c>
      <c r="C49" s="162"/>
      <c r="D49" s="181"/>
      <c r="E49" s="156"/>
    </row>
    <row r="50" spans="1:5" x14ac:dyDescent="0.2">
      <c r="A50" s="185">
        <f>D45</f>
        <v>2075138</v>
      </c>
      <c r="B50" s="185">
        <f>+D39</f>
        <v>2082125.61</v>
      </c>
      <c r="C50" s="185">
        <f>B50-A50</f>
        <v>6987.6100000001024</v>
      </c>
      <c r="D50" s="194">
        <f>+(A50*1)/B50</f>
        <v>0.99664400170362433</v>
      </c>
      <c r="E50" s="156"/>
    </row>
    <row r="51" spans="1:5" x14ac:dyDescent="0.2">
      <c r="A51" s="156"/>
      <c r="B51" s="156"/>
      <c r="C51" s="156"/>
      <c r="D51" s="156"/>
      <c r="E51" s="156"/>
    </row>
    <row r="52" spans="1:5" x14ac:dyDescent="0.2">
      <c r="A52" s="195" t="s">
        <v>128</v>
      </c>
      <c r="B52" s="156"/>
      <c r="C52" s="196"/>
      <c r="D52" s="197"/>
      <c r="E52" s="156"/>
    </row>
    <row r="53" spans="1:5" x14ac:dyDescent="0.2">
      <c r="A53" s="195" t="s">
        <v>129</v>
      </c>
    </row>
    <row r="54" spans="1:5" x14ac:dyDescent="0.2">
      <c r="A54" s="195" t="s">
        <v>130</v>
      </c>
    </row>
    <row r="55" spans="1:5" x14ac:dyDescent="0.2">
      <c r="A55" s="195" t="s">
        <v>131</v>
      </c>
    </row>
    <row r="56" spans="1:5" x14ac:dyDescent="0.2">
      <c r="A56" s="195" t="s">
        <v>132</v>
      </c>
    </row>
    <row r="57" spans="1:5" x14ac:dyDescent="0.2">
      <c r="A57" s="195" t="s">
        <v>133</v>
      </c>
    </row>
    <row r="58" spans="1:5" x14ac:dyDescent="0.2">
      <c r="A58" s="195" t="s">
        <v>134</v>
      </c>
    </row>
  </sheetData>
  <mergeCells count="4">
    <mergeCell ref="A2:D2"/>
    <mergeCell ref="A3:D3"/>
    <mergeCell ref="A4:D4"/>
    <mergeCell ref="A6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Anexo 1 -Zon Estacionamientos</vt:lpstr>
      <vt:lpstr>Anexo 2 - Estructura de Costos</vt:lpstr>
      <vt:lpstr>Anexo 3 -Estimacion de Ingresos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Michael Huyhua</dc:creator>
  <cp:lastModifiedBy>Eduardo Alvarez Lopez</cp:lastModifiedBy>
  <cp:lastPrinted>2015-06-19T20:33:46Z</cp:lastPrinted>
  <dcterms:created xsi:type="dcterms:W3CDTF">2015-03-23T21:26:49Z</dcterms:created>
  <dcterms:modified xsi:type="dcterms:W3CDTF">2015-06-22T15:38:17Z</dcterms:modified>
</cp:coreProperties>
</file>